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/>
  <mc:AlternateContent xmlns:mc="http://schemas.openxmlformats.org/markup-compatibility/2006">
    <mc:Choice Requires="x15">
      <x15ac:absPath xmlns:x15ac="http://schemas.microsoft.com/office/spreadsheetml/2010/11/ac" url="K:\Dokumenty\Pracovní aktovka\"/>
    </mc:Choice>
  </mc:AlternateContent>
  <xr:revisionPtr revIDLastSave="0" documentId="13_ncr:1_{B15CE8C1-1593-4871-BABE-EA24EC4C4463}" xr6:coauthVersionLast="36" xr6:coauthVersionMax="36" xr10:uidLastSave="{00000000-0000-0000-0000-000000000000}"/>
  <bookViews>
    <workbookView xWindow="0" yWindow="0" windowWidth="19200" windowHeight="11535" xr2:uid="{00000000-000D-0000-FFFF-FFFF00000000}"/>
  </bookViews>
  <sheets>
    <sheet name="Pedagogický pracovník" sheetId="36" r:id="rId1"/>
    <sheet name="Ostatní zaměstnanec" sheetId="32" r:id="rId2"/>
    <sheet name="Vzor" sheetId="37" r:id="rId3"/>
  </sheets>
  <calcPr calcId="191029"/>
</workbook>
</file>

<file path=xl/calcChain.xml><?xml version="1.0" encoding="utf-8"?>
<calcChain xmlns="http://schemas.openxmlformats.org/spreadsheetml/2006/main">
  <c r="D42" i="37" l="1"/>
  <c r="Y35" i="37"/>
  <c r="W35" i="37"/>
  <c r="U35" i="37"/>
  <c r="S35" i="37"/>
  <c r="Q35" i="37"/>
  <c r="O35" i="37"/>
  <c r="M35" i="37"/>
  <c r="Y34" i="37"/>
  <c r="W34" i="37"/>
  <c r="U34" i="37"/>
  <c r="S34" i="37"/>
  <c r="Q34" i="37"/>
  <c r="O34" i="37"/>
  <c r="M34" i="37"/>
  <c r="Y33" i="37"/>
  <c r="W33" i="37"/>
  <c r="U33" i="37"/>
  <c r="S33" i="37"/>
  <c r="Q33" i="37"/>
  <c r="O33" i="37"/>
  <c r="M33" i="37"/>
  <c r="J33" i="37"/>
  <c r="B33" i="37"/>
  <c r="Y32" i="37"/>
  <c r="W32" i="37"/>
  <c r="U32" i="37"/>
  <c r="S32" i="37"/>
  <c r="Q32" i="37"/>
  <c r="O32" i="37"/>
  <c r="M32" i="37"/>
  <c r="J32" i="37"/>
  <c r="B32" i="37"/>
  <c r="Y31" i="37"/>
  <c r="W31" i="37"/>
  <c r="U31" i="37"/>
  <c r="S31" i="37"/>
  <c r="Q31" i="37"/>
  <c r="O31" i="37"/>
  <c r="M31" i="37"/>
  <c r="J31" i="37"/>
  <c r="B31" i="37"/>
  <c r="Y30" i="37"/>
  <c r="W30" i="37"/>
  <c r="U30" i="37"/>
  <c r="S30" i="37"/>
  <c r="Q30" i="37"/>
  <c r="O30" i="37"/>
  <c r="M30" i="37"/>
  <c r="J30" i="37"/>
  <c r="B30" i="37"/>
  <c r="Y29" i="37"/>
  <c r="W29" i="37"/>
  <c r="U29" i="37"/>
  <c r="S29" i="37"/>
  <c r="Q29" i="37"/>
  <c r="O29" i="37"/>
  <c r="M29" i="37"/>
  <c r="J29" i="37"/>
  <c r="B29" i="37"/>
  <c r="Y28" i="37"/>
  <c r="W28" i="37"/>
  <c r="U28" i="37"/>
  <c r="Q15" i="37" s="1"/>
  <c r="S28" i="37"/>
  <c r="Q28" i="37"/>
  <c r="O28" i="37"/>
  <c r="Q12" i="37" s="1"/>
  <c r="F35" i="37" s="1"/>
  <c r="M28" i="37"/>
  <c r="Q11" i="37" s="1"/>
  <c r="J28" i="37"/>
  <c r="B28" i="37"/>
  <c r="Y27" i="37"/>
  <c r="W27" i="37"/>
  <c r="U27" i="37"/>
  <c r="S27" i="37"/>
  <c r="Q27" i="37"/>
  <c r="O27" i="37"/>
  <c r="M27" i="37"/>
  <c r="J27" i="37"/>
  <c r="B27" i="37"/>
  <c r="Y26" i="37"/>
  <c r="W26" i="37"/>
  <c r="U26" i="37"/>
  <c r="S26" i="37"/>
  <c r="Q26" i="37"/>
  <c r="O26" i="37"/>
  <c r="M26" i="37"/>
  <c r="J26" i="37"/>
  <c r="Y25" i="37"/>
  <c r="W25" i="37"/>
  <c r="U25" i="37"/>
  <c r="S25" i="37"/>
  <c r="Q25" i="37"/>
  <c r="O25" i="37"/>
  <c r="M25" i="37"/>
  <c r="J25" i="37"/>
  <c r="Y24" i="37"/>
  <c r="W24" i="37"/>
  <c r="U24" i="37"/>
  <c r="S24" i="37"/>
  <c r="Q24" i="37"/>
  <c r="O24" i="37"/>
  <c r="M24" i="37"/>
  <c r="J24" i="37"/>
  <c r="Y23" i="37"/>
  <c r="W23" i="37"/>
  <c r="U23" i="37"/>
  <c r="S23" i="37"/>
  <c r="Q23" i="37"/>
  <c r="O23" i="37"/>
  <c r="M23" i="37"/>
  <c r="J23" i="37"/>
  <c r="Y22" i="37"/>
  <c r="W22" i="37"/>
  <c r="U22" i="37"/>
  <c r="S22" i="37"/>
  <c r="Q22" i="37"/>
  <c r="O22" i="37"/>
  <c r="M22" i="37"/>
  <c r="J22" i="37"/>
  <c r="Y21" i="37"/>
  <c r="W21" i="37"/>
  <c r="U21" i="37"/>
  <c r="S21" i="37"/>
  <c r="Q21" i="37"/>
  <c r="O21" i="37"/>
  <c r="M21" i="37"/>
  <c r="J21" i="37"/>
  <c r="Y20" i="37"/>
  <c r="W20" i="37"/>
  <c r="U20" i="37"/>
  <c r="S20" i="37"/>
  <c r="Q20" i="37"/>
  <c r="O20" i="37"/>
  <c r="M20" i="37"/>
  <c r="J20" i="37"/>
  <c r="J19" i="37"/>
  <c r="J18" i="37"/>
  <c r="R17" i="37"/>
  <c r="Q17" i="37"/>
  <c r="J17" i="37"/>
  <c r="R16" i="37"/>
  <c r="Q16" i="37"/>
  <c r="J16" i="37"/>
  <c r="R15" i="37"/>
  <c r="J15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R14" i="37"/>
  <c r="Q14" i="37"/>
  <c r="F9" i="37" s="1"/>
  <c r="J14" i="37"/>
  <c r="R13" i="37"/>
  <c r="Q13" i="37"/>
  <c r="R12" i="37"/>
  <c r="R11" i="37"/>
  <c r="E10" i="37"/>
  <c r="F34" i="37" l="1"/>
  <c r="F36" i="37" s="1"/>
  <c r="F42" i="36"/>
  <c r="AB35" i="36"/>
  <c r="Z35" i="36"/>
  <c r="X35" i="36"/>
  <c r="V35" i="36"/>
  <c r="T35" i="36"/>
  <c r="R35" i="36"/>
  <c r="P35" i="36"/>
  <c r="AB34" i="36"/>
  <c r="Z34" i="36"/>
  <c r="X34" i="36"/>
  <c r="V34" i="36"/>
  <c r="T34" i="36"/>
  <c r="R34" i="36"/>
  <c r="P34" i="36"/>
  <c r="AB33" i="36"/>
  <c r="Z33" i="36"/>
  <c r="X33" i="36"/>
  <c r="V33" i="36"/>
  <c r="T33" i="36"/>
  <c r="R33" i="36"/>
  <c r="P33" i="36"/>
  <c r="M33" i="36"/>
  <c r="B33" i="36"/>
  <c r="AB32" i="36"/>
  <c r="Z32" i="36"/>
  <c r="X32" i="36"/>
  <c r="V32" i="36"/>
  <c r="T32" i="36"/>
  <c r="R32" i="36"/>
  <c r="P32" i="36"/>
  <c r="M32" i="36"/>
  <c r="B32" i="36"/>
  <c r="AB31" i="36"/>
  <c r="Z31" i="36"/>
  <c r="X31" i="36"/>
  <c r="V31" i="36"/>
  <c r="T31" i="36"/>
  <c r="R31" i="36"/>
  <c r="P31" i="36"/>
  <c r="M31" i="36"/>
  <c r="B31" i="36"/>
  <c r="AB30" i="36"/>
  <c r="Z30" i="36"/>
  <c r="X30" i="36"/>
  <c r="V30" i="36"/>
  <c r="T30" i="36"/>
  <c r="R30" i="36"/>
  <c r="P30" i="36"/>
  <c r="M30" i="36"/>
  <c r="B30" i="36"/>
  <c r="AB29" i="36"/>
  <c r="Z29" i="36"/>
  <c r="X29" i="36"/>
  <c r="V29" i="36"/>
  <c r="T29" i="36"/>
  <c r="R29" i="36"/>
  <c r="P29" i="36"/>
  <c r="M29" i="36"/>
  <c r="B29" i="36"/>
  <c r="AB28" i="36"/>
  <c r="Z28" i="36"/>
  <c r="X28" i="36"/>
  <c r="T15" i="36" s="1"/>
  <c r="V28" i="36"/>
  <c r="T28" i="36"/>
  <c r="R28" i="36"/>
  <c r="P28" i="36"/>
  <c r="T11" i="36" s="1"/>
  <c r="M28" i="36"/>
  <c r="B28" i="36"/>
  <c r="AB27" i="36"/>
  <c r="Z27" i="36"/>
  <c r="X27" i="36"/>
  <c r="V27" i="36"/>
  <c r="T27" i="36"/>
  <c r="R27" i="36"/>
  <c r="P27" i="36"/>
  <c r="M27" i="36"/>
  <c r="B27" i="36"/>
  <c r="AB26" i="36"/>
  <c r="Z26" i="36"/>
  <c r="X26" i="36"/>
  <c r="V26" i="36"/>
  <c r="T26" i="36"/>
  <c r="R26" i="36"/>
  <c r="P26" i="36"/>
  <c r="M26" i="36"/>
  <c r="AB25" i="36"/>
  <c r="Z25" i="36"/>
  <c r="X25" i="36"/>
  <c r="V25" i="36"/>
  <c r="T25" i="36"/>
  <c r="R25" i="36"/>
  <c r="P25" i="36"/>
  <c r="M25" i="36"/>
  <c r="AB24" i="36"/>
  <c r="Z24" i="36"/>
  <c r="X24" i="36"/>
  <c r="V24" i="36"/>
  <c r="T24" i="36"/>
  <c r="R24" i="36"/>
  <c r="P24" i="36"/>
  <c r="M24" i="36"/>
  <c r="AB23" i="36"/>
  <c r="Z23" i="36"/>
  <c r="X23" i="36"/>
  <c r="V23" i="36"/>
  <c r="T23" i="36"/>
  <c r="R23" i="36"/>
  <c r="P23" i="36"/>
  <c r="M23" i="36"/>
  <c r="AB22" i="36"/>
  <c r="Z22" i="36"/>
  <c r="X22" i="36"/>
  <c r="V22" i="36"/>
  <c r="T22" i="36"/>
  <c r="R22" i="36"/>
  <c r="P22" i="36"/>
  <c r="M22" i="36"/>
  <c r="AB21" i="36"/>
  <c r="Z21" i="36"/>
  <c r="X21" i="36"/>
  <c r="V21" i="36"/>
  <c r="T21" i="36"/>
  <c r="R21" i="36"/>
  <c r="P21" i="36"/>
  <c r="M21" i="36"/>
  <c r="AB20" i="36"/>
  <c r="Z20" i="36"/>
  <c r="X20" i="36"/>
  <c r="V20" i="36"/>
  <c r="T20" i="36"/>
  <c r="R20" i="36"/>
  <c r="P20" i="36"/>
  <c r="M20" i="36"/>
  <c r="M19" i="36"/>
  <c r="M18" i="36"/>
  <c r="U17" i="36"/>
  <c r="T17" i="36"/>
  <c r="M17" i="36"/>
  <c r="U16" i="36"/>
  <c r="T16" i="36"/>
  <c r="M16" i="36"/>
  <c r="U15" i="36"/>
  <c r="M15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U14" i="36"/>
  <c r="T14" i="36"/>
  <c r="M14" i="36"/>
  <c r="U13" i="36"/>
  <c r="T13" i="36"/>
  <c r="U12" i="36"/>
  <c r="T12" i="36"/>
  <c r="U11" i="36"/>
  <c r="G10" i="36"/>
  <c r="W10" i="37" l="1"/>
  <c r="W9" i="37"/>
  <c r="W8" i="37"/>
  <c r="Y6" i="37"/>
  <c r="X5" i="37"/>
  <c r="W4" i="37"/>
  <c r="Y7" i="37"/>
  <c r="X6" i="37"/>
  <c r="W5" i="37"/>
  <c r="Y10" i="37"/>
  <c r="Y9" i="37"/>
  <c r="X7" i="37"/>
  <c r="Y4" i="37"/>
  <c r="X10" i="37"/>
  <c r="X9" i="37"/>
  <c r="X8" i="37"/>
  <c r="W7" i="37"/>
  <c r="Y5" i="37"/>
  <c r="X4" i="37"/>
  <c r="F37" i="37"/>
  <c r="Y8" i="37"/>
  <c r="W6" i="37"/>
  <c r="I9" i="36"/>
  <c r="I34" i="36"/>
  <c r="I35" i="36"/>
  <c r="X17" i="37" l="1"/>
  <c r="W17" i="37"/>
  <c r="F38" i="37" s="1"/>
  <c r="Y17" i="37"/>
  <c r="I36" i="36"/>
  <c r="Z10" i="36" s="1"/>
  <c r="U14" i="32"/>
  <c r="U15" i="32"/>
  <c r="U16" i="32"/>
  <c r="U17" i="32"/>
  <c r="U12" i="32"/>
  <c r="U13" i="32"/>
  <c r="U11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J9" i="32"/>
  <c r="H10" i="32"/>
  <c r="V11" i="32"/>
  <c r="V12" i="32"/>
  <c r="V13" i="32"/>
  <c r="V14" i="32"/>
  <c r="C15" i="32"/>
  <c r="V15" i="32"/>
  <c r="C16" i="32"/>
  <c r="V16" i="32"/>
  <c r="C17" i="32"/>
  <c r="V17" i="32"/>
  <c r="C18" i="32"/>
  <c r="C19" i="32"/>
  <c r="C20" i="32"/>
  <c r="Q20" i="32"/>
  <c r="S20" i="32"/>
  <c r="U20" i="32"/>
  <c r="W20" i="32"/>
  <c r="Y20" i="32"/>
  <c r="AA20" i="32"/>
  <c r="AC20" i="32"/>
  <c r="C21" i="32"/>
  <c r="Q21" i="32"/>
  <c r="S21" i="32"/>
  <c r="U21" i="32"/>
  <c r="W21" i="32"/>
  <c r="Y21" i="32"/>
  <c r="AA21" i="32"/>
  <c r="AC21" i="32"/>
  <c r="C22" i="32"/>
  <c r="Q22" i="32"/>
  <c r="S22" i="32"/>
  <c r="U22" i="32"/>
  <c r="W22" i="32"/>
  <c r="Y22" i="32"/>
  <c r="AA22" i="32"/>
  <c r="AC22" i="32"/>
  <c r="C23" i="32"/>
  <c r="Q23" i="32"/>
  <c r="S23" i="32"/>
  <c r="U23" i="32"/>
  <c r="W23" i="32"/>
  <c r="Y23" i="32"/>
  <c r="AA23" i="32"/>
  <c r="AC23" i="32"/>
  <c r="C24" i="32"/>
  <c r="Q24" i="32"/>
  <c r="S24" i="32"/>
  <c r="U24" i="32"/>
  <c r="W24" i="32"/>
  <c r="Y24" i="32"/>
  <c r="AA24" i="32"/>
  <c r="AC24" i="32"/>
  <c r="C25" i="32"/>
  <c r="Q25" i="32"/>
  <c r="S25" i="32"/>
  <c r="U25" i="32"/>
  <c r="W25" i="32"/>
  <c r="Y25" i="32"/>
  <c r="AA25" i="32"/>
  <c r="AC25" i="32"/>
  <c r="C26" i="32"/>
  <c r="Q26" i="32"/>
  <c r="S26" i="32"/>
  <c r="U26" i="32"/>
  <c r="W26" i="32"/>
  <c r="Y26" i="32"/>
  <c r="AA26" i="32"/>
  <c r="AC26" i="32"/>
  <c r="C27" i="32"/>
  <c r="Q27" i="32"/>
  <c r="S27" i="32"/>
  <c r="U27" i="32"/>
  <c r="W27" i="32"/>
  <c r="Y27" i="32"/>
  <c r="AA27" i="32"/>
  <c r="AC27" i="32"/>
  <c r="C28" i="32"/>
  <c r="Q28" i="32"/>
  <c r="S28" i="32"/>
  <c r="U28" i="32"/>
  <c r="W28" i="32"/>
  <c r="Y28" i="32"/>
  <c r="AA28" i="32"/>
  <c r="AC28" i="32"/>
  <c r="C29" i="32"/>
  <c r="Q29" i="32"/>
  <c r="S29" i="32"/>
  <c r="U29" i="32"/>
  <c r="W29" i="32"/>
  <c r="Y29" i="32"/>
  <c r="AA29" i="32"/>
  <c r="AC29" i="32"/>
  <c r="C30" i="32"/>
  <c r="Q30" i="32"/>
  <c r="S30" i="32"/>
  <c r="U30" i="32"/>
  <c r="W30" i="32"/>
  <c r="Y30" i="32"/>
  <c r="AA30" i="32"/>
  <c r="AC30" i="32"/>
  <c r="C31" i="32"/>
  <c r="Q31" i="32"/>
  <c r="S31" i="32"/>
  <c r="U31" i="32"/>
  <c r="W31" i="32"/>
  <c r="Y31" i="32"/>
  <c r="AA31" i="32"/>
  <c r="AC31" i="32"/>
  <c r="C32" i="32"/>
  <c r="Q32" i="32"/>
  <c r="S32" i="32"/>
  <c r="U32" i="32"/>
  <c r="W32" i="32"/>
  <c r="Y32" i="32"/>
  <c r="AA32" i="32"/>
  <c r="AC32" i="32"/>
  <c r="C33" i="32"/>
  <c r="Q33" i="32"/>
  <c r="S33" i="32"/>
  <c r="U33" i="32"/>
  <c r="W33" i="32"/>
  <c r="Y33" i="32"/>
  <c r="AA33" i="32"/>
  <c r="AC33" i="32"/>
  <c r="Q34" i="32"/>
  <c r="S34" i="32"/>
  <c r="U34" i="32"/>
  <c r="W34" i="32"/>
  <c r="Y34" i="32"/>
  <c r="AA34" i="32"/>
  <c r="AC34" i="32"/>
  <c r="Q35" i="32"/>
  <c r="S35" i="32"/>
  <c r="U35" i="32"/>
  <c r="W35" i="32"/>
  <c r="Y35" i="32"/>
  <c r="AA35" i="32"/>
  <c r="AC35" i="32"/>
  <c r="G42" i="32"/>
  <c r="J34" i="32" l="1"/>
  <c r="AB7" i="36"/>
  <c r="AA7" i="36"/>
  <c r="AB5" i="36"/>
  <c r="AA6" i="36"/>
  <c r="AB8" i="36"/>
  <c r="AA9" i="36"/>
  <c r="AB9" i="36"/>
  <c r="Z7" i="36"/>
  <c r="AB6" i="36"/>
  <c r="AB4" i="36"/>
  <c r="I37" i="36"/>
  <c r="AA8" i="36"/>
  <c r="Z8" i="36"/>
  <c r="B39" i="37"/>
  <c r="F39" i="37"/>
  <c r="F40" i="37" s="1"/>
  <c r="B40" i="37" s="1"/>
  <c r="AA10" i="36"/>
  <c r="Z4" i="36"/>
  <c r="Z9" i="36"/>
  <c r="Z6" i="36"/>
  <c r="AB10" i="36"/>
  <c r="AA4" i="36"/>
  <c r="Z5" i="36"/>
  <c r="AA5" i="36"/>
  <c r="J35" i="32"/>
  <c r="J36" i="32" s="1"/>
  <c r="AA17" i="36" l="1"/>
  <c r="Z17" i="36"/>
  <c r="I38" i="36" s="1"/>
  <c r="I39" i="36" s="1"/>
  <c r="AB17" i="36"/>
  <c r="AC4" i="32"/>
  <c r="AB7" i="32"/>
  <c r="AC9" i="32"/>
  <c r="AC11" i="32"/>
  <c r="AC13" i="32"/>
  <c r="AB4" i="32"/>
  <c r="AA7" i="32"/>
  <c r="AB10" i="32"/>
  <c r="AB14" i="32"/>
  <c r="AA15" i="32"/>
  <c r="AB5" i="32"/>
  <c r="AA8" i="32"/>
  <c r="AA10" i="32"/>
  <c r="AA12" i="32"/>
  <c r="AA14" i="32"/>
  <c r="AA5" i="32"/>
  <c r="AC7" i="32"/>
  <c r="AB11" i="32"/>
  <c r="AA6" i="32"/>
  <c r="AC8" i="32"/>
  <c r="AC10" i="32"/>
  <c r="AC12" i="32"/>
  <c r="AC14" i="32"/>
  <c r="AC5" i="32"/>
  <c r="AB8" i="32"/>
  <c r="AB12" i="32"/>
  <c r="AC15" i="32"/>
  <c r="AA4" i="32"/>
  <c r="AC6" i="32"/>
  <c r="AA9" i="32"/>
  <c r="AA11" i="32"/>
  <c r="AA13" i="32"/>
  <c r="AB15" i="32"/>
  <c r="AB6" i="32"/>
  <c r="AB9" i="32"/>
  <c r="AB13" i="32"/>
  <c r="J37" i="32"/>
  <c r="B39" i="36" l="1"/>
  <c r="AB17" i="32"/>
  <c r="AC17" i="32"/>
  <c r="AA17" i="32"/>
  <c r="J38" i="32" s="1"/>
  <c r="C39" i="32" s="1"/>
  <c r="I40" i="36"/>
  <c r="B40" i="36" s="1"/>
  <c r="J39" i="32" l="1"/>
  <c r="J40" i="32" s="1"/>
  <c r="C4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</author>
    <author>mm</author>
  </authors>
  <commentList>
    <comment ref="I38" authorId="0" shapeId="0" xr:uid="{00000000-0006-0000-0000-000001000000}">
      <text>
        <r>
          <rPr>
            <b/>
            <sz val="10"/>
            <color indexed="10"/>
            <rFont val="Tahoma"/>
            <family val="2"/>
            <charset val="238"/>
          </rPr>
          <t xml:space="preserve">Pozor! Pokud je text zobrazen červeně a přeškrtnut, přísluší zaměstnanci platový stupeň o 1 vyšší. Prověřte, zda platový postup skutečně nastane v průběhu tohoto měsíce. Nápovědu záskáte na dalším poli. </t>
        </r>
      </text>
    </comment>
    <comment ref="I39" authorId="0" shapeId="0" xr:uid="{00000000-0006-0000-0000-000002000000}">
      <text>
        <r>
          <rPr>
            <b/>
            <sz val="10"/>
            <color indexed="10"/>
            <rFont val="Tahoma"/>
            <family val="2"/>
            <charset val="238"/>
          </rPr>
          <t>Pozor! Pokud tento den případne na sobotu, neděli nebo svátek, postup nastane až nejbližší pracovní den!</t>
        </r>
      </text>
    </comment>
    <comment ref="J40" authorId="1" shapeId="0" xr:uid="{00000000-0006-0000-0000-000003000000}">
      <text>
        <r>
          <rPr>
            <b/>
            <sz val="10"/>
            <color indexed="81"/>
            <rFont val="Arial"/>
            <family val="2"/>
            <charset val="238"/>
          </rPr>
          <t>Aktuální formulář najdete na</t>
        </r>
        <r>
          <rPr>
            <b/>
            <sz val="14"/>
            <color indexed="81"/>
            <rFont val="Arial"/>
            <family val="2"/>
            <charset val="238"/>
          </rPr>
          <t xml:space="preserve">
</t>
        </r>
        <r>
          <rPr>
            <b/>
            <u/>
            <sz val="12"/>
            <color indexed="12"/>
            <rFont val="Arial"/>
            <family val="2"/>
            <charset val="238"/>
          </rPr>
          <t>www.drmacek.cz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</author>
    <author>mm</author>
  </authors>
  <commentList>
    <comment ref="J38" authorId="0" shapeId="0" xr:uid="{00000000-0006-0000-0100-000001000000}">
      <text>
        <r>
          <rPr>
            <b/>
            <sz val="10"/>
            <color indexed="10"/>
            <rFont val="Tahoma"/>
            <family val="2"/>
            <charset val="238"/>
          </rPr>
          <t xml:space="preserve">Pozor! Pokud je text zobrazen červeně a přeškrtnut, přísluší zaměstnanci platový stupeň o 1 vyšší. Prověřte, zda platový postup skutečně nastane v průběhu tohoto měsíce. Nápovědu záskáte na dalším poli. </t>
        </r>
      </text>
    </comment>
    <comment ref="J39" authorId="0" shapeId="0" xr:uid="{00000000-0006-0000-0100-000002000000}">
      <text>
        <r>
          <rPr>
            <b/>
            <sz val="10"/>
            <color indexed="10"/>
            <rFont val="Tahoma"/>
            <family val="2"/>
            <charset val="238"/>
          </rPr>
          <t>Pozor! Pokud tento den případne na sobotu, neděli nebo svátek, postup nastane až nejbližší pracovní den!</t>
        </r>
      </text>
    </comment>
    <comment ref="K40" authorId="1" shapeId="0" xr:uid="{00000000-0006-0000-0100-000003000000}">
      <text>
        <r>
          <rPr>
            <b/>
            <sz val="10"/>
            <color indexed="81"/>
            <rFont val="Arial"/>
            <family val="2"/>
            <charset val="238"/>
          </rPr>
          <t>Aktuální formulář najdete na</t>
        </r>
        <r>
          <rPr>
            <b/>
            <sz val="14"/>
            <color indexed="81"/>
            <rFont val="Arial"/>
            <family val="2"/>
            <charset val="238"/>
          </rPr>
          <t xml:space="preserve">
</t>
        </r>
        <r>
          <rPr>
            <b/>
            <u/>
            <sz val="12"/>
            <color indexed="12"/>
            <rFont val="Arial"/>
            <family val="2"/>
            <charset val="238"/>
          </rPr>
          <t>www.drmacek.cz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</author>
    <author>mm</author>
  </authors>
  <commentList>
    <comment ref="F38" authorId="0" shapeId="0" xr:uid="{00000000-0006-0000-0200-000001000000}">
      <text>
        <r>
          <rPr>
            <b/>
            <sz val="10"/>
            <color indexed="10"/>
            <rFont val="Tahoma"/>
            <family val="2"/>
            <charset val="238"/>
          </rPr>
          <t xml:space="preserve">Pozor! Pokud je text zobrazen červeně a přeškrtnut, přísluší zaměstnanci platový stupeň o 1 vyšší. Prověřte, zda platový postup skutečně nastane v průběhu tohoto měsíce. Nápovědu záskáte na dalším poli. </t>
        </r>
      </text>
    </comment>
    <comment ref="F39" authorId="0" shapeId="0" xr:uid="{00000000-0006-0000-0200-000002000000}">
      <text>
        <r>
          <rPr>
            <b/>
            <sz val="10"/>
            <color indexed="10"/>
            <rFont val="Tahoma"/>
            <family val="2"/>
            <charset val="238"/>
          </rPr>
          <t>Pozor! Pokud tento den případne na sobotu, neděli nebo svátek, postup nastane až nejbližší pracovní den!</t>
        </r>
      </text>
    </comment>
    <comment ref="G40" authorId="1" shapeId="0" xr:uid="{00000000-0006-0000-0200-000003000000}">
      <text>
        <r>
          <rPr>
            <b/>
            <sz val="10"/>
            <color indexed="81"/>
            <rFont val="Arial"/>
            <family val="2"/>
            <charset val="238"/>
          </rPr>
          <t>Aktuální formulář najdete na</t>
        </r>
        <r>
          <rPr>
            <b/>
            <sz val="14"/>
            <color indexed="81"/>
            <rFont val="Arial"/>
            <family val="2"/>
            <charset val="238"/>
          </rPr>
          <t xml:space="preserve">
</t>
        </r>
        <r>
          <rPr>
            <b/>
            <u/>
            <sz val="12"/>
            <color indexed="12"/>
            <rFont val="Arial"/>
            <family val="2"/>
            <charset val="238"/>
          </rPr>
          <t>www.drmacek.cz</t>
        </r>
      </text>
    </comment>
  </commentList>
</comments>
</file>

<file path=xl/sharedStrings.xml><?xml version="1.0" encoding="utf-8"?>
<sst xmlns="http://schemas.openxmlformats.org/spreadsheetml/2006/main" count="268" uniqueCount="66">
  <si>
    <t>Pracovní zařazení</t>
  </si>
  <si>
    <t>od</t>
  </si>
  <si>
    <t>do</t>
  </si>
  <si>
    <t>Let</t>
  </si>
  <si>
    <t xml:space="preserve">V Praze dne </t>
  </si>
  <si>
    <t>Ředitel</t>
  </si>
  <si>
    <t>Datum nástupu do zaměstnání</t>
  </si>
  <si>
    <t>Platový stupeň</t>
  </si>
  <si>
    <t>Jméno a příjmení zaměstnance</t>
  </si>
  <si>
    <t>Platová třída</t>
  </si>
  <si>
    <t>Přepočet</t>
  </si>
  <si>
    <t>Výběr</t>
  </si>
  <si>
    <t>Č.</t>
  </si>
  <si>
    <t>pedagog volného času</t>
  </si>
  <si>
    <t>Jana Nováková</t>
  </si>
  <si>
    <t>prodavačka</t>
  </si>
  <si>
    <t>učitelka</t>
  </si>
  <si>
    <t>vychovatelka</t>
  </si>
  <si>
    <t>MD, RD</t>
  </si>
  <si>
    <t>Odečet</t>
  </si>
  <si>
    <t>Ukončené vzdělání zaměstnance</t>
  </si>
  <si>
    <t>nezaměstnaná</t>
  </si>
  <si>
    <t>Rozsah
zápočtu</t>
  </si>
  <si>
    <t>Obchod</t>
  </si>
  <si>
    <t>ZŠ</t>
  </si>
  <si>
    <t>Obchod a učňovské středisko</t>
  </si>
  <si>
    <t>prodavačka, mistrová</t>
  </si>
  <si>
    <t>Stupeň</t>
  </si>
  <si>
    <t>Postup za</t>
  </si>
  <si>
    <t>Třída</t>
  </si>
  <si>
    <t>Vzdělání</t>
  </si>
  <si>
    <t>Odpočet</t>
  </si>
  <si>
    <t>Tabulka postupů ve stupních</t>
  </si>
  <si>
    <t>N</t>
  </si>
  <si>
    <t>Potřebné vzdělání</t>
  </si>
  <si>
    <t>Firma (zaměstnavatel)</t>
  </si>
  <si>
    <t>Vykonávaná práce</t>
  </si>
  <si>
    <t>DDM</t>
  </si>
  <si>
    <t>Práce byla vykonávána</t>
  </si>
  <si>
    <t>základní (základy vzdělání)</t>
  </si>
  <si>
    <t>střední</t>
  </si>
  <si>
    <t xml:space="preserve">střední s výučním listem nebo střední vzdělání </t>
  </si>
  <si>
    <t>střední s výučním listem</t>
  </si>
  <si>
    <t>střední s maturitní zkouškou nebo s výučním listem</t>
  </si>
  <si>
    <t>střední s maturitní zkouškou</t>
  </si>
  <si>
    <t xml:space="preserve">vyšší odborné nebo střední s maturitní zkouškou </t>
  </si>
  <si>
    <t>vysokoškolské v magisterském studijním programu</t>
  </si>
  <si>
    <t xml:space="preserve">střední </t>
  </si>
  <si>
    <t xml:space="preserve">vyšší odborné </t>
  </si>
  <si>
    <t>vysokoškolské v bakalářském studijním programu</t>
  </si>
  <si>
    <t>Nejvyšší získané vzdělání</t>
  </si>
  <si>
    <t>min.</t>
  </si>
  <si>
    <t>vysokoškolské v bakal. stud. programu nebo vyšší odborné</t>
  </si>
  <si>
    <t>vysokoškolské v magist. nebo v bakal. studijním programu</t>
  </si>
  <si>
    <t>roků</t>
  </si>
  <si>
    <t>roků a dní</t>
  </si>
  <si>
    <t>Doba započitatelné praxe</t>
  </si>
  <si>
    <t>Započteno
roků</t>
  </si>
  <si>
    <t>Zahrnuto do započitatelné praxe roků</t>
  </si>
  <si>
    <t>Odečteno z doby započitatelné praxe roků</t>
  </si>
  <si>
    <t>F12: Výpočet doby započitatelné praxe a stanovení platového stupně</t>
  </si>
  <si>
    <t>Obchodní akademie Vinohradská</t>
  </si>
  <si>
    <t>RNDr. Milan Macek, CSc, 2011</t>
  </si>
  <si>
    <t>podle zákoníku práce č. 262/2006 Sb. a nařízení vlády č. 341/2017 Sb.</t>
  </si>
  <si>
    <r>
      <rPr>
        <b/>
        <sz val="8"/>
        <rFont val="Arial"/>
        <family val="2"/>
        <charset val="238"/>
      </rPr>
      <t>Pedagogický pracovník</t>
    </r>
    <r>
      <rPr>
        <b/>
        <sz val="8"/>
        <color indexed="12"/>
        <rFont val="Arial"/>
        <family val="2"/>
        <charset val="238"/>
      </rPr>
      <t xml:space="preserve">
</t>
    </r>
    <r>
      <rPr>
        <b/>
        <sz val="8"/>
        <color rgb="FFFF0000"/>
        <rFont val="Arial"/>
        <family val="2"/>
        <charset val="238"/>
      </rPr>
      <t>7 platových stupňů</t>
    </r>
  </si>
  <si>
    <r>
      <rPr>
        <b/>
        <sz val="8"/>
        <rFont val="Arial"/>
        <family val="2"/>
        <charset val="238"/>
      </rPr>
      <t>Ostatní zaměstnanec</t>
    </r>
    <r>
      <rPr>
        <b/>
        <sz val="8"/>
        <color indexed="12"/>
        <rFont val="Arial"/>
        <family val="2"/>
        <charset val="238"/>
      </rPr>
      <t xml:space="preserve">
</t>
    </r>
    <r>
      <rPr>
        <b/>
        <sz val="8"/>
        <color rgb="FFFF0000"/>
        <rFont val="Arial"/>
        <family val="2"/>
        <charset val="238"/>
      </rPr>
      <t>12 platových stupňů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</si>
</sst>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"/>
    <numFmt numFmtId="165" formatCode="0&quot;.&quot;"/>
    <numFmt numFmtId="166" formatCode="#,##0.000"/>
    <numFmt numFmtId="167" formatCode="0.000"/>
  </numFmts>
  <fonts count="24" x14ac:knownFonts="1">
    <font>
      <sz val="10"/>
      <name val="MS Sans Serif"/>
      <charset val="238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24"/>
      <color indexed="12"/>
      <name val="Monotype Corsiva"/>
      <family val="4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4"/>
      <color indexed="81"/>
      <name val="Arial"/>
      <family val="2"/>
      <charset val="238"/>
    </font>
    <font>
      <b/>
      <sz val="10"/>
      <color indexed="81"/>
      <name val="Arial"/>
      <family val="2"/>
      <charset val="238"/>
    </font>
    <font>
      <sz val="10"/>
      <color indexed="10"/>
      <name val="Arial"/>
      <family val="2"/>
      <charset val="238"/>
    </font>
    <font>
      <sz val="7.5"/>
      <name val="Arial"/>
      <family val="2"/>
      <charset val="238"/>
    </font>
    <font>
      <b/>
      <sz val="7.5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6"/>
      <name val="Monotype Corsiva"/>
      <family val="4"/>
      <charset val="238"/>
    </font>
    <font>
      <b/>
      <u/>
      <sz val="12"/>
      <color indexed="12"/>
      <name val="Arial"/>
      <family val="2"/>
      <charset val="238"/>
    </font>
    <font>
      <b/>
      <sz val="10"/>
      <color indexed="10"/>
      <name val="Tahoma"/>
      <family val="2"/>
      <charset val="238"/>
    </font>
    <font>
      <b/>
      <sz val="8"/>
      <color rgb="FFFF0000"/>
      <name val="Arial"/>
      <family val="2"/>
      <charset val="238"/>
    </font>
    <font>
      <b/>
      <sz val="24"/>
      <name val="Monotype Corsiva"/>
      <family val="4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15"/>
      </patternFill>
    </fill>
    <fill>
      <patternFill patternType="solid">
        <fgColor indexed="26"/>
        <bgColor indexed="26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4" fillId="2" borderId="0" xfId="0" applyNumberFormat="1" applyFont="1" applyFill="1" applyBorder="1" applyAlignment="1" applyProtection="1"/>
    <xf numFmtId="164" fontId="2" fillId="2" borderId="1" xfId="0" applyNumberFormat="1" applyFont="1" applyFill="1" applyBorder="1" applyAlignment="1" applyProtection="1">
      <protection locked="0"/>
    </xf>
    <xf numFmtId="13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protection hidden="1"/>
    </xf>
    <xf numFmtId="164" fontId="2" fillId="2" borderId="3" xfId="0" applyNumberFormat="1" applyFont="1" applyFill="1" applyBorder="1" applyAlignment="1" applyProtection="1">
      <protection locked="0"/>
    </xf>
    <xf numFmtId="13" fontId="2" fillId="2" borderId="3" xfId="0" applyNumberFormat="1" applyFont="1" applyFill="1" applyBorder="1" applyAlignment="1" applyProtection="1">
      <alignment horizontal="right"/>
      <protection locked="0"/>
    </xf>
    <xf numFmtId="0" fontId="4" fillId="3" borderId="5" xfId="0" applyNumberFormat="1" applyFont="1" applyFill="1" applyBorder="1" applyAlignment="1" applyProtection="1">
      <protection hidden="1"/>
    </xf>
    <xf numFmtId="0" fontId="4" fillId="3" borderId="6" xfId="0" applyNumberFormat="1" applyFont="1" applyFill="1" applyBorder="1" applyAlignment="1" applyProtection="1">
      <protection hidden="1"/>
    </xf>
    <xf numFmtId="0" fontId="4" fillId="3" borderId="7" xfId="0" applyNumberFormat="1" applyFont="1" applyFill="1" applyBorder="1" applyAlignment="1" applyProtection="1">
      <protection hidden="1"/>
    </xf>
    <xf numFmtId="13" fontId="2" fillId="2" borderId="4" xfId="0" applyNumberFormat="1" applyFont="1" applyFill="1" applyBorder="1" applyAlignment="1" applyProtection="1">
      <alignment horizontal="right"/>
      <protection locked="0"/>
    </xf>
    <xf numFmtId="0" fontId="8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/>
    <xf numFmtId="166" fontId="4" fillId="3" borderId="8" xfId="0" applyNumberFormat="1" applyFont="1" applyFill="1" applyBorder="1" applyAlignment="1" applyProtection="1">
      <alignment horizontal="right"/>
      <protection hidden="1"/>
    </xf>
    <xf numFmtId="166" fontId="4" fillId="3" borderId="9" xfId="0" applyNumberFormat="1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protection hidden="1"/>
    </xf>
    <xf numFmtId="0" fontId="12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Border="1" applyAlignment="1" applyProtection="1">
      <alignment horizontal="right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6" fontId="4" fillId="3" borderId="10" xfId="0" applyNumberFormat="1" applyFont="1" applyFill="1" applyBorder="1" applyAlignment="1" applyProtection="1">
      <alignment horizontal="right"/>
      <protection hidden="1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0" fontId="2" fillId="4" borderId="2" xfId="0" applyNumberFormat="1" applyFont="1" applyFill="1" applyBorder="1" applyAlignment="1" applyProtection="1">
      <alignment horizontal="center"/>
    </xf>
    <xf numFmtId="167" fontId="4" fillId="5" borderId="11" xfId="0" applyNumberFormat="1" applyFont="1" applyFill="1" applyBorder="1" applyAlignment="1" applyProtection="1">
      <alignment horizontal="center"/>
      <protection hidden="1"/>
    </xf>
    <xf numFmtId="0" fontId="4" fillId="4" borderId="9" xfId="0" applyNumberFormat="1" applyFont="1" applyFill="1" applyBorder="1" applyAlignment="1" applyProtection="1">
      <alignment horizontal="center"/>
    </xf>
    <xf numFmtId="167" fontId="4" fillId="5" borderId="9" xfId="0" applyNumberFormat="1" applyFont="1" applyFill="1" applyBorder="1" applyAlignment="1" applyProtection="1">
      <alignment horizontal="center"/>
      <protection hidden="1"/>
    </xf>
    <xf numFmtId="165" fontId="6" fillId="5" borderId="9" xfId="0" applyNumberFormat="1" applyFont="1" applyFill="1" applyBorder="1" applyAlignment="1" applyProtection="1">
      <alignment horizontal="center"/>
      <protection hidden="1"/>
    </xf>
    <xf numFmtId="164" fontId="4" fillId="5" borderId="9" xfId="0" applyNumberFormat="1" applyFont="1" applyFill="1" applyBorder="1" applyAlignment="1" applyProtection="1">
      <alignment horizontal="center"/>
      <protection hidden="1"/>
    </xf>
    <xf numFmtId="164" fontId="6" fillId="5" borderId="1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8" fillId="2" borderId="12" xfId="0" applyNumberFormat="1" applyFont="1" applyFill="1" applyBorder="1" applyAlignment="1" applyProtection="1"/>
    <xf numFmtId="0" fontId="8" fillId="2" borderId="13" xfId="0" applyNumberFormat="1" applyFont="1" applyFill="1" applyBorder="1" applyAlignment="1" applyProtection="1">
      <alignment horizontal="center"/>
    </xf>
    <xf numFmtId="0" fontId="8" fillId="2" borderId="12" xfId="0" applyNumberFormat="1" applyFont="1" applyFill="1" applyBorder="1" applyAlignment="1" applyProtection="1">
      <alignment horizontal="center"/>
    </xf>
    <xf numFmtId="0" fontId="8" fillId="2" borderId="14" xfId="0" applyNumberFormat="1" applyFont="1" applyFill="1" applyBorder="1" applyAlignment="1" applyProtection="1"/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/>
    </xf>
    <xf numFmtId="0" fontId="8" fillId="2" borderId="16" xfId="0" applyNumberFormat="1" applyFont="1" applyFill="1" applyBorder="1" applyAlignment="1" applyProtection="1"/>
    <xf numFmtId="0" fontId="8" fillId="2" borderId="17" xfId="0" applyNumberFormat="1" applyFont="1" applyFill="1" applyBorder="1" applyAlignment="1" applyProtection="1">
      <alignment horizontal="center"/>
    </xf>
    <xf numFmtId="0" fontId="8" fillId="2" borderId="18" xfId="0" applyNumberFormat="1" applyFont="1" applyFill="1" applyBorder="1" applyAlignment="1" applyProtection="1">
      <alignment horizontal="center"/>
    </xf>
    <xf numFmtId="0" fontId="15" fillId="2" borderId="19" xfId="0" applyNumberFormat="1" applyFont="1" applyFill="1" applyBorder="1" applyAlignment="1" applyProtection="1">
      <alignment horizontal="left"/>
    </xf>
    <xf numFmtId="0" fontId="15" fillId="2" borderId="20" xfId="0" applyNumberFormat="1" applyFont="1" applyFill="1" applyBorder="1" applyAlignment="1" applyProtection="1">
      <alignment horizontal="left"/>
    </xf>
    <xf numFmtId="0" fontId="8" fillId="0" borderId="21" xfId="0" applyFont="1" applyBorder="1"/>
    <xf numFmtId="0" fontId="8" fillId="0" borderId="2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23" xfId="0" applyFont="1" applyBorder="1"/>
    <xf numFmtId="0" fontId="8" fillId="0" borderId="16" xfId="0" applyFont="1" applyBorder="1"/>
    <xf numFmtId="0" fontId="8" fillId="0" borderId="12" xfId="0" applyFont="1" applyBorder="1"/>
    <xf numFmtId="0" fontId="15" fillId="2" borderId="24" xfId="0" applyNumberFormat="1" applyFont="1" applyFill="1" applyBorder="1" applyAlignment="1" applyProtection="1">
      <alignment horizontal="center"/>
    </xf>
    <xf numFmtId="0" fontId="15" fillId="2" borderId="25" xfId="0" applyNumberFormat="1" applyFont="1" applyFill="1" applyBorder="1" applyAlignment="1" applyProtection="1">
      <alignment horizontal="center"/>
    </xf>
    <xf numFmtId="0" fontId="15" fillId="2" borderId="26" xfId="0" applyNumberFormat="1" applyFont="1" applyFill="1" applyBorder="1" applyAlignment="1" applyProtection="1">
      <alignment horizontal="center"/>
    </xf>
    <xf numFmtId="0" fontId="15" fillId="2" borderId="23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5" fillId="2" borderId="27" xfId="0" applyNumberFormat="1" applyFont="1" applyFill="1" applyBorder="1" applyAlignment="1" applyProtection="1">
      <alignment horizontal="center" vertical="center"/>
    </xf>
    <xf numFmtId="0" fontId="15" fillId="2" borderId="28" xfId="0" applyNumberFormat="1" applyFont="1" applyFill="1" applyBorder="1" applyAlignment="1" applyProtection="1">
      <alignment horizontal="center" vertical="center" wrapText="1"/>
    </xf>
    <xf numFmtId="0" fontId="15" fillId="2" borderId="16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/>
    </xf>
    <xf numFmtId="0" fontId="15" fillId="2" borderId="30" xfId="0" applyNumberFormat="1" applyFont="1" applyFill="1" applyBorder="1" applyAlignment="1" applyProtection="1">
      <alignment horizontal="center"/>
    </xf>
    <xf numFmtId="0" fontId="15" fillId="2" borderId="24" xfId="0" applyNumberFormat="1" applyFont="1" applyFill="1" applyBorder="1" applyAlignment="1" applyProtection="1">
      <alignment horizontal="center" shrinkToFit="1"/>
    </xf>
    <xf numFmtId="0" fontId="15" fillId="2" borderId="26" xfId="0" applyNumberFormat="1" applyFont="1" applyFill="1" applyBorder="1" applyAlignment="1" applyProtection="1">
      <alignment horizontal="center" shrinkToFit="1"/>
    </xf>
    <xf numFmtId="0" fontId="8" fillId="0" borderId="0" xfId="0" applyFont="1" applyBorder="1"/>
    <xf numFmtId="0" fontId="15" fillId="2" borderId="31" xfId="0" applyNumberFormat="1" applyFont="1" applyFill="1" applyBorder="1" applyAlignment="1" applyProtection="1">
      <alignment horizontal="center"/>
    </xf>
    <xf numFmtId="0" fontId="15" fillId="2" borderId="32" xfId="0" applyNumberFormat="1" applyFont="1" applyFill="1" applyBorder="1" applyAlignment="1" applyProtection="1">
      <alignment horizontal="center"/>
    </xf>
    <xf numFmtId="0" fontId="15" fillId="2" borderId="33" xfId="0" applyNumberFormat="1" applyFont="1" applyFill="1" applyBorder="1" applyAlignment="1" applyProtection="1">
      <alignment horizontal="center"/>
    </xf>
    <xf numFmtId="0" fontId="15" fillId="2" borderId="34" xfId="0" applyNumberFormat="1" applyFont="1" applyFill="1" applyBorder="1" applyAlignment="1" applyProtection="1">
      <alignment horizontal="center"/>
    </xf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0" fontId="9" fillId="6" borderId="3" xfId="0" applyFont="1" applyFill="1" applyBorder="1"/>
    <xf numFmtId="0" fontId="9" fillId="6" borderId="38" xfId="0" applyFont="1" applyFill="1" applyBorder="1"/>
    <xf numFmtId="0" fontId="9" fillId="7" borderId="39" xfId="0" applyNumberFormat="1" applyFont="1" applyFill="1" applyBorder="1" applyAlignment="1" applyProtection="1">
      <alignment vertical="center"/>
      <protection hidden="1"/>
    </xf>
    <xf numFmtId="0" fontId="9" fillId="7" borderId="40" xfId="0" applyNumberFormat="1" applyFont="1" applyFill="1" applyBorder="1" applyAlignment="1" applyProtection="1">
      <alignment vertical="center"/>
      <protection hidden="1"/>
    </xf>
    <xf numFmtId="0" fontId="9" fillId="7" borderId="41" xfId="0" applyNumberFormat="1" applyFont="1" applyFill="1" applyBorder="1" applyAlignment="1" applyProtection="1">
      <alignment vertical="center"/>
      <protection hidden="1"/>
    </xf>
    <xf numFmtId="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7" borderId="9" xfId="0" applyNumberFormat="1" applyFont="1" applyFill="1" applyBorder="1" applyAlignment="1" applyProtection="1">
      <alignment horizontal="center" vertical="center"/>
      <protection hidden="1"/>
    </xf>
    <xf numFmtId="0" fontId="9" fillId="7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42" xfId="0" applyNumberFormat="1" applyFont="1" applyFill="1" applyBorder="1" applyAlignment="1" applyProtection="1">
      <alignment vertical="center"/>
      <protection hidden="1"/>
    </xf>
    <xf numFmtId="0" fontId="9" fillId="6" borderId="13" xfId="0" applyFont="1" applyFill="1" applyBorder="1"/>
    <xf numFmtId="0" fontId="9" fillId="6" borderId="43" xfId="0" applyFont="1" applyFill="1" applyBorder="1"/>
    <xf numFmtId="0" fontId="9" fillId="6" borderId="44" xfId="0" applyNumberFormat="1" applyFont="1" applyFill="1" applyBorder="1" applyAlignment="1" applyProtection="1">
      <alignment horizontal="center"/>
    </xf>
    <xf numFmtId="0" fontId="9" fillId="6" borderId="3" xfId="0" applyNumberFormat="1" applyFont="1" applyFill="1" applyBorder="1" applyAlignment="1" applyProtection="1">
      <alignment horizontal="center"/>
    </xf>
    <xf numFmtId="0" fontId="9" fillId="6" borderId="12" xfId="0" applyNumberFormat="1" applyFont="1" applyFill="1" applyBorder="1" applyAlignment="1" applyProtection="1">
      <alignment horizontal="center"/>
    </xf>
    <xf numFmtId="0" fontId="9" fillId="8" borderId="45" xfId="0" applyNumberFormat="1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 applyProtection="1">
      <alignment horizontal="center" vertical="center" wrapText="1"/>
    </xf>
    <xf numFmtId="0" fontId="9" fillId="8" borderId="14" xfId="0" applyNumberFormat="1" applyFont="1" applyFill="1" applyBorder="1" applyAlignment="1" applyProtection="1">
      <alignment horizontal="center" vertical="center" wrapText="1"/>
    </xf>
    <xf numFmtId="0" fontId="16" fillId="8" borderId="46" xfId="0" applyNumberFormat="1" applyFont="1" applyFill="1" applyBorder="1" applyAlignment="1" applyProtection="1">
      <alignment horizontal="center" vertical="center" wrapText="1"/>
    </xf>
    <xf numFmtId="0" fontId="16" fillId="8" borderId="47" xfId="0" applyNumberFormat="1" applyFont="1" applyFill="1" applyBorder="1" applyAlignment="1" applyProtection="1">
      <alignment horizontal="center" vertical="center" wrapText="1"/>
    </xf>
    <xf numFmtId="0" fontId="16" fillId="8" borderId="30" xfId="0" applyNumberFormat="1" applyFont="1" applyFill="1" applyBorder="1" applyAlignment="1" applyProtection="1">
      <alignment horizontal="center" vertical="center" wrapText="1"/>
    </xf>
    <xf numFmtId="0" fontId="8" fillId="2" borderId="36" xfId="0" applyNumberFormat="1" applyFont="1" applyFill="1" applyBorder="1" applyAlignment="1" applyProtection="1">
      <alignment horizontal="center"/>
    </xf>
    <xf numFmtId="0" fontId="8" fillId="2" borderId="37" xfId="0" applyNumberFormat="1" applyFont="1" applyFill="1" applyBorder="1" applyAlignment="1" applyProtection="1">
      <alignment horizontal="center"/>
    </xf>
    <xf numFmtId="0" fontId="8" fillId="2" borderId="35" xfId="0" applyNumberFormat="1" applyFont="1" applyFill="1" applyBorder="1" applyAlignment="1" applyProtection="1">
      <alignment horizontal="center"/>
    </xf>
    <xf numFmtId="0" fontId="8" fillId="2" borderId="48" xfId="0" applyNumberFormat="1" applyFont="1" applyFill="1" applyBorder="1" applyAlignment="1" applyProtection="1">
      <alignment horizontal="center"/>
    </xf>
    <xf numFmtId="0" fontId="8" fillId="2" borderId="49" xfId="0" applyNumberFormat="1" applyFont="1" applyFill="1" applyBorder="1" applyAlignment="1" applyProtection="1">
      <alignment horizontal="center"/>
    </xf>
    <xf numFmtId="0" fontId="8" fillId="2" borderId="50" xfId="0" applyNumberFormat="1" applyFont="1" applyFill="1" applyBorder="1" applyAlignment="1" applyProtection="1">
      <alignment horizontal="center" vertical="center" wrapText="1"/>
    </xf>
    <xf numFmtId="0" fontId="8" fillId="2" borderId="51" xfId="0" applyNumberFormat="1" applyFont="1" applyFill="1" applyBorder="1" applyAlignment="1" applyProtection="1">
      <alignment horizontal="center"/>
    </xf>
    <xf numFmtId="0" fontId="15" fillId="0" borderId="52" xfId="0" applyNumberFormat="1" applyFont="1" applyFill="1" applyBorder="1" applyAlignment="1" applyProtection="1">
      <alignment horizontal="center" vertical="center"/>
      <protection hidden="1"/>
    </xf>
    <xf numFmtId="0" fontId="15" fillId="2" borderId="52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/>
    <xf numFmtId="165" fontId="2" fillId="2" borderId="53" xfId="0" applyNumberFormat="1" applyFont="1" applyFill="1" applyBorder="1" applyAlignment="1" applyProtection="1">
      <alignment horizont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</xf>
    <xf numFmtId="0" fontId="9" fillId="0" borderId="53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4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protection hidden="1"/>
    </xf>
    <xf numFmtId="14" fontId="2" fillId="2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15" fillId="2" borderId="29" xfId="0" applyNumberFormat="1" applyFont="1" applyFill="1" applyBorder="1" applyAlignment="1" applyProtection="1">
      <alignment horizontal="center"/>
      <protection hidden="1"/>
    </xf>
    <xf numFmtId="0" fontId="15" fillId="2" borderId="30" xfId="0" applyNumberFormat="1" applyFont="1" applyFill="1" applyBorder="1" applyAlignment="1" applyProtection="1">
      <alignment horizontal="center"/>
      <protection hidden="1"/>
    </xf>
    <xf numFmtId="0" fontId="8" fillId="2" borderId="48" xfId="0" applyNumberFormat="1" applyFont="1" applyFill="1" applyBorder="1" applyAlignment="1" applyProtection="1">
      <alignment horizontal="center"/>
      <protection hidden="1"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NumberFormat="1" applyFont="1" applyFill="1" applyBorder="1" applyAlignment="1" applyProtection="1">
      <protection hidden="1"/>
    </xf>
    <xf numFmtId="0" fontId="15" fillId="2" borderId="24" xfId="0" applyNumberFormat="1" applyFont="1" applyFill="1" applyBorder="1" applyAlignment="1" applyProtection="1">
      <alignment horizontal="center" shrinkToFit="1"/>
      <protection hidden="1"/>
    </xf>
    <xf numFmtId="0" fontId="15" fillId="2" borderId="26" xfId="0" applyNumberFormat="1" applyFont="1" applyFill="1" applyBorder="1" applyAlignment="1" applyProtection="1">
      <alignment horizontal="center" shrinkToFit="1"/>
      <protection hidden="1"/>
    </xf>
    <xf numFmtId="0" fontId="15" fillId="2" borderId="24" xfId="0" applyNumberFormat="1" applyFont="1" applyFill="1" applyBorder="1" applyAlignment="1" applyProtection="1">
      <alignment horizontal="center"/>
      <protection hidden="1"/>
    </xf>
    <xf numFmtId="0" fontId="15" fillId="2" borderId="25" xfId="0" applyNumberFormat="1" applyFont="1" applyFill="1" applyBorder="1" applyAlignment="1" applyProtection="1">
      <alignment horizontal="center"/>
      <protection hidden="1"/>
    </xf>
    <xf numFmtId="0" fontId="15" fillId="2" borderId="26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8" fillId="0" borderId="21" xfId="0" applyFont="1" applyBorder="1" applyProtection="1">
      <protection hidden="1"/>
    </xf>
    <xf numFmtId="0" fontId="8" fillId="0" borderId="22" xfId="0" applyFont="1" applyBorder="1" applyProtection="1">
      <protection hidden="1"/>
    </xf>
    <xf numFmtId="0" fontId="8" fillId="2" borderId="35" xfId="0" applyNumberFormat="1" applyFont="1" applyFill="1" applyBorder="1" applyAlignment="1" applyProtection="1">
      <alignment horizontal="center"/>
      <protection hidden="1"/>
    </xf>
    <xf numFmtId="0" fontId="8" fillId="0" borderId="13" xfId="0" applyFont="1" applyBorder="1" applyProtection="1">
      <protection hidden="1"/>
    </xf>
    <xf numFmtId="0" fontId="8" fillId="2" borderId="12" xfId="0" applyNumberFormat="1" applyFont="1" applyFill="1" applyBorder="1" applyAlignment="1" applyProtection="1">
      <protection hidden="1"/>
    </xf>
    <xf numFmtId="0" fontId="15" fillId="2" borderId="23" xfId="0" applyNumberFormat="1" applyFont="1" applyFill="1" applyBorder="1" applyAlignment="1" applyProtection="1">
      <alignment horizontal="center" vertical="center"/>
      <protection hidden="1"/>
    </xf>
    <xf numFmtId="0" fontId="15" fillId="2" borderId="16" xfId="0" applyNumberFormat="1" applyFont="1" applyFill="1" applyBorder="1" applyAlignment="1" applyProtection="1">
      <alignment horizontal="center" vertical="center"/>
      <protection hidden="1"/>
    </xf>
    <xf numFmtId="0" fontId="15" fillId="2" borderId="27" xfId="0" applyNumberFormat="1" applyFont="1" applyFill="1" applyBorder="1" applyAlignment="1" applyProtection="1">
      <alignment horizontal="center" vertical="center"/>
      <protection hidden="1"/>
    </xf>
    <xf numFmtId="0" fontId="15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Border="1" applyProtection="1">
      <protection hidden="1"/>
    </xf>
    <xf numFmtId="0" fontId="8" fillId="0" borderId="12" xfId="0" applyFont="1" applyBorder="1" applyProtection="1">
      <protection hidden="1"/>
    </xf>
    <xf numFmtId="0" fontId="8" fillId="2" borderId="36" xfId="0" applyNumberFormat="1" applyFont="1" applyFill="1" applyBorder="1" applyAlignment="1" applyProtection="1">
      <alignment horizontal="center"/>
      <protection hidden="1"/>
    </xf>
    <xf numFmtId="0" fontId="8" fillId="2" borderId="14" xfId="0" applyNumberFormat="1" applyFont="1" applyFill="1" applyBorder="1" applyAlignment="1" applyProtection="1">
      <protection hidden="1"/>
    </xf>
    <xf numFmtId="0" fontId="8" fillId="2" borderId="13" xfId="0" applyNumberFormat="1" applyFont="1" applyFill="1" applyBorder="1" applyAlignment="1" applyProtection="1">
      <alignment horizontal="center"/>
      <protection hidden="1"/>
    </xf>
    <xf numFmtId="0" fontId="8" fillId="2" borderId="12" xfId="0" applyNumberFormat="1" applyFont="1" applyFill="1" applyBorder="1" applyAlignment="1" applyProtection="1">
      <alignment horizontal="center"/>
      <protection hidden="1"/>
    </xf>
    <xf numFmtId="0" fontId="9" fillId="6" borderId="44" xfId="0" applyNumberFormat="1" applyFont="1" applyFill="1" applyBorder="1" applyAlignment="1" applyProtection="1">
      <alignment horizontal="center"/>
      <protection hidden="1"/>
    </xf>
    <xf numFmtId="0" fontId="9" fillId="6" borderId="3" xfId="0" applyNumberFormat="1" applyFont="1" applyFill="1" applyBorder="1" applyAlignment="1" applyProtection="1">
      <alignment horizontal="center"/>
      <protection hidden="1"/>
    </xf>
    <xf numFmtId="0" fontId="9" fillId="6" borderId="12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Border="1" applyProtection="1">
      <protection hidden="1"/>
    </xf>
    <xf numFmtId="0" fontId="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45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4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8" fillId="2" borderId="14" xfId="0" applyNumberFormat="1" applyFont="1" applyFill="1" applyBorder="1" applyAlignment="1" applyProtection="1">
      <alignment horizontal="center"/>
      <protection hidden="1"/>
    </xf>
    <xf numFmtId="164" fontId="2" fillId="2" borderId="3" xfId="0" applyNumberFormat="1" applyFont="1" applyFill="1" applyBorder="1" applyAlignment="1" applyProtection="1">
      <alignment horizontal="center"/>
      <protection hidden="1"/>
    </xf>
    <xf numFmtId="0" fontId="8" fillId="0" borderId="23" xfId="0" applyFont="1" applyBorder="1" applyProtection="1">
      <protection hidden="1"/>
    </xf>
    <xf numFmtId="0" fontId="8" fillId="2" borderId="16" xfId="0" applyNumberFormat="1" applyFont="1" applyFill="1" applyBorder="1" applyAlignment="1" applyProtection="1">
      <protection hidden="1"/>
    </xf>
    <xf numFmtId="165" fontId="2" fillId="2" borderId="53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4" fillId="4" borderId="2" xfId="0" applyNumberFormat="1" applyFont="1" applyFill="1" applyBorder="1" applyAlignment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15" fillId="2" borderId="52" xfId="0" applyNumberFormat="1" applyFont="1" applyFill="1" applyBorder="1" applyAlignment="1" applyProtection="1">
      <alignment horizontal="center"/>
      <protection hidden="1"/>
    </xf>
    <xf numFmtId="0" fontId="8" fillId="2" borderId="51" xfId="0" applyNumberFormat="1" applyFont="1" applyFill="1" applyBorder="1" applyAlignment="1" applyProtection="1">
      <alignment horizontal="center"/>
      <protection hidden="1"/>
    </xf>
    <xf numFmtId="0" fontId="9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9" xfId="0" applyNumberFormat="1" applyFont="1" applyFill="1" applyBorder="1" applyAlignment="1" applyProtection="1">
      <alignment horizontal="center"/>
      <protection hidden="1"/>
    </xf>
    <xf numFmtId="0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3" xfId="0" applyNumberFormat="1" applyFont="1" applyFill="1" applyBorder="1" applyAlignment="1" applyProtection="1">
      <protection hidden="1"/>
    </xf>
    <xf numFmtId="13" fontId="2" fillId="2" borderId="3" xfId="0" applyNumberFormat="1" applyFont="1" applyFill="1" applyBorder="1" applyAlignment="1" applyProtection="1">
      <alignment horizontal="right"/>
      <protection hidden="1"/>
    </xf>
    <xf numFmtId="164" fontId="2" fillId="2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7" xfId="0" applyNumberFormat="1" applyFont="1" applyFill="1" applyBorder="1" applyAlignment="1" applyProtection="1">
      <alignment horizontal="center"/>
      <protection hidden="1"/>
    </xf>
    <xf numFmtId="0" fontId="8" fillId="2" borderId="18" xfId="0" applyNumberFormat="1" applyFont="1" applyFill="1" applyBorder="1" applyAlignment="1" applyProtection="1">
      <alignment horizontal="center"/>
      <protection hidden="1"/>
    </xf>
    <xf numFmtId="0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0" fontId="8" fillId="0" borderId="16" xfId="0" applyFont="1" applyBorder="1" applyProtection="1">
      <protection hidden="1"/>
    </xf>
    <xf numFmtId="0" fontId="8" fillId="2" borderId="37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9" xfId="0" applyNumberFormat="1" applyFont="1" applyFill="1" applyBorder="1" applyAlignment="1" applyProtection="1">
      <alignment horizontal="left"/>
      <protection hidden="1"/>
    </xf>
    <xf numFmtId="0" fontId="15" fillId="2" borderId="20" xfId="0" applyNumberFormat="1" applyFont="1" applyFill="1" applyBorder="1" applyAlignment="1" applyProtection="1">
      <alignment horizontal="left"/>
      <protection hidden="1"/>
    </xf>
    <xf numFmtId="0" fontId="16" fillId="8" borderId="46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47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31" xfId="0" applyNumberFormat="1" applyFont="1" applyFill="1" applyBorder="1" applyAlignment="1" applyProtection="1">
      <alignment horizontal="center"/>
      <protection hidden="1"/>
    </xf>
    <xf numFmtId="0" fontId="15" fillId="2" borderId="32" xfId="0" applyNumberFormat="1" applyFont="1" applyFill="1" applyBorder="1" applyAlignment="1" applyProtection="1">
      <alignment horizontal="center"/>
      <protection hidden="1"/>
    </xf>
    <xf numFmtId="0" fontId="15" fillId="2" borderId="33" xfId="0" applyNumberFormat="1" applyFont="1" applyFill="1" applyBorder="1" applyAlignment="1" applyProtection="1">
      <alignment horizontal="center"/>
      <protection hidden="1"/>
    </xf>
    <xf numFmtId="0" fontId="15" fillId="2" borderId="34" xfId="0" applyNumberFormat="1" applyFont="1" applyFill="1" applyBorder="1" applyAlignment="1" applyProtection="1">
      <alignment horizontal="center"/>
      <protection hidden="1"/>
    </xf>
    <xf numFmtId="0" fontId="8" fillId="0" borderId="35" xfId="0" applyFont="1" applyBorder="1" applyProtection="1">
      <protection hidden="1"/>
    </xf>
    <xf numFmtId="0" fontId="9" fillId="6" borderId="3" xfId="0" applyFont="1" applyFill="1" applyBorder="1" applyProtection="1">
      <protection hidden="1"/>
    </xf>
    <xf numFmtId="0" fontId="9" fillId="6" borderId="13" xfId="0" applyFont="1" applyFill="1" applyBorder="1" applyProtection="1">
      <protection hidden="1"/>
    </xf>
    <xf numFmtId="0" fontId="8" fillId="0" borderId="36" xfId="0" applyFont="1" applyBorder="1" applyProtection="1">
      <protection hidden="1"/>
    </xf>
    <xf numFmtId="13" fontId="2" fillId="2" borderId="1" xfId="0" applyNumberFormat="1" applyFont="1" applyFill="1" applyBorder="1" applyAlignment="1" applyProtection="1">
      <alignment horizontal="right"/>
      <protection hidden="1"/>
    </xf>
    <xf numFmtId="13" fontId="2" fillId="2" borderId="4" xfId="0" applyNumberFormat="1" applyFont="1" applyFill="1" applyBorder="1" applyAlignment="1" applyProtection="1">
      <alignment horizontal="right"/>
      <protection hidden="1"/>
    </xf>
    <xf numFmtId="0" fontId="4" fillId="4" borderId="9" xfId="0" applyNumberFormat="1" applyFont="1" applyFill="1" applyBorder="1" applyAlignment="1" applyProtection="1">
      <alignment horizontal="center"/>
      <protection hidden="1"/>
    </xf>
    <xf numFmtId="0" fontId="8" fillId="0" borderId="37" xfId="0" applyFont="1" applyBorder="1" applyProtection="1">
      <protection hidden="1"/>
    </xf>
    <xf numFmtId="0" fontId="9" fillId="6" borderId="38" xfId="0" applyFont="1" applyFill="1" applyBorder="1" applyProtection="1">
      <protection hidden="1"/>
    </xf>
    <xf numFmtId="0" fontId="9" fillId="6" borderId="43" xfId="0" applyFont="1" applyFill="1" applyBorder="1" applyProtection="1"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NumberFormat="1" applyFont="1" applyFill="1" applyBorder="1" applyAlignment="1" applyProtection="1">
      <protection hidden="1"/>
    </xf>
    <xf numFmtId="0" fontId="23" fillId="5" borderId="86" xfId="0" applyNumberFormat="1" applyFont="1" applyFill="1" applyBorder="1" applyAlignment="1" applyProtection="1">
      <alignment horizontal="left"/>
      <protection hidden="1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5" borderId="72" xfId="0" applyNumberFormat="1" applyFont="1" applyFill="1" applyBorder="1" applyAlignment="1" applyProtection="1">
      <alignment horizontal="left"/>
      <protection hidden="1"/>
    </xf>
    <xf numFmtId="0" fontId="0" fillId="0" borderId="72" xfId="0" applyFont="1" applyBorder="1"/>
    <xf numFmtId="0" fontId="2" fillId="5" borderId="69" xfId="0" applyNumberFormat="1" applyFont="1" applyFill="1" applyBorder="1" applyAlignment="1" applyProtection="1">
      <alignment horizontal="left"/>
      <protection hidden="1"/>
    </xf>
    <xf numFmtId="164" fontId="2" fillId="2" borderId="67" xfId="0" applyNumberFormat="1" applyFont="1" applyFill="1" applyBorder="1" applyAlignment="1" applyProtection="1">
      <alignment horizontal="center"/>
      <protection locked="0"/>
    </xf>
    <xf numFmtId="165" fontId="2" fillId="2" borderId="67" xfId="0" applyNumberFormat="1" applyFont="1" applyFill="1" applyBorder="1" applyAlignment="1" applyProtection="1">
      <alignment horizontal="center"/>
      <protection locked="0"/>
    </xf>
    <xf numFmtId="0" fontId="2" fillId="5" borderId="64" xfId="0" applyNumberFormat="1" applyFont="1" applyFill="1" applyBorder="1" applyAlignment="1" applyProtection="1">
      <protection hidden="1"/>
    </xf>
    <xf numFmtId="0" fontId="2" fillId="2" borderId="0" xfId="0" applyNumberFormat="1" applyFont="1" applyFill="1" applyBorder="1" applyAlignment="1" applyProtection="1">
      <alignment horizontal="center"/>
    </xf>
    <xf numFmtId="0" fontId="17" fillId="2" borderId="0" xfId="0" applyNumberFormat="1" applyFont="1" applyFill="1" applyBorder="1" applyAlignment="1" applyProtection="1">
      <alignment horizontal="left"/>
    </xf>
    <xf numFmtId="0" fontId="23" fillId="5" borderId="85" xfId="0" applyNumberFormat="1" applyFont="1" applyFill="1" applyBorder="1" applyAlignment="1" applyProtection="1">
      <alignment horizontal="left"/>
      <protection hidden="1"/>
    </xf>
    <xf numFmtId="0" fontId="23" fillId="5" borderId="86" xfId="0" applyNumberFormat="1" applyFont="1" applyFill="1" applyBorder="1" applyAlignment="1" applyProtection="1">
      <alignment horizontal="left"/>
      <protection hidden="1"/>
    </xf>
    <xf numFmtId="0" fontId="23" fillId="5" borderId="63" xfId="0" applyNumberFormat="1" applyFont="1" applyFill="1" applyBorder="1" applyAlignment="1" applyProtection="1">
      <alignment horizontal="left"/>
      <protection hidden="1"/>
    </xf>
    <xf numFmtId="0" fontId="16" fillId="4" borderId="55" xfId="0" applyNumberFormat="1" applyFont="1" applyFill="1" applyBorder="1" applyAlignment="1" applyProtection="1">
      <alignment horizontal="center" vertical="center"/>
    </xf>
    <xf numFmtId="0" fontId="16" fillId="4" borderId="56" xfId="0" applyNumberFormat="1" applyFont="1" applyFill="1" applyBorder="1" applyAlignment="1" applyProtection="1">
      <alignment horizontal="center" vertical="center"/>
    </xf>
    <xf numFmtId="0" fontId="16" fillId="4" borderId="57" xfId="0" applyNumberFormat="1" applyFont="1" applyFill="1" applyBorder="1" applyAlignment="1" applyProtection="1">
      <alignment horizontal="center" vertical="center"/>
    </xf>
    <xf numFmtId="0" fontId="2" fillId="2" borderId="59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64" xfId="0" applyNumberFormat="1" applyFont="1" applyFill="1" applyBorder="1" applyAlignment="1" applyProtection="1">
      <alignment horizontal="left" shrinkToFit="1"/>
      <protection locked="0"/>
    </xf>
    <xf numFmtId="0" fontId="2" fillId="2" borderId="72" xfId="0" applyNumberFormat="1" applyFont="1" applyFill="1" applyBorder="1" applyAlignment="1" applyProtection="1">
      <alignment horizontal="left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16" fillId="4" borderId="58" xfId="0" applyNumberFormat="1" applyFont="1" applyFill="1" applyBorder="1" applyAlignment="1" applyProtection="1">
      <alignment horizontal="center" vertical="center" wrapText="1"/>
    </xf>
    <xf numFmtId="0" fontId="16" fillId="4" borderId="59" xfId="0" applyNumberFormat="1" applyFont="1" applyFill="1" applyBorder="1" applyAlignment="1" applyProtection="1">
      <alignment horizontal="center" vertical="center"/>
    </xf>
    <xf numFmtId="0" fontId="16" fillId="4" borderId="60" xfId="0" applyNumberFormat="1" applyFont="1" applyFill="1" applyBorder="1" applyAlignment="1" applyProtection="1">
      <alignment horizontal="center" vertical="center"/>
    </xf>
    <xf numFmtId="0" fontId="16" fillId="4" borderId="61" xfId="0" applyNumberFormat="1" applyFont="1" applyFill="1" applyBorder="1" applyAlignment="1" applyProtection="1">
      <alignment horizontal="center"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6" fillId="4" borderId="2" xfId="0" applyNumberFormat="1" applyFont="1" applyFill="1" applyBorder="1" applyAlignment="1" applyProtection="1">
      <alignment horizontal="center" vertical="center"/>
    </xf>
    <xf numFmtId="0" fontId="2" fillId="5" borderId="71" xfId="0" applyNumberFormat="1" applyFont="1" applyFill="1" applyBorder="1" applyAlignment="1" applyProtection="1">
      <alignment horizontal="left"/>
      <protection hidden="1"/>
    </xf>
    <xf numFmtId="0" fontId="2" fillId="5" borderId="72" xfId="0" applyNumberFormat="1" applyFont="1" applyFill="1" applyBorder="1" applyAlignment="1" applyProtection="1">
      <alignment horizontal="left"/>
      <protection hidden="1"/>
    </xf>
    <xf numFmtId="0" fontId="2" fillId="5" borderId="45" xfId="0" applyNumberFormat="1" applyFont="1" applyFill="1" applyBorder="1" applyAlignment="1" applyProtection="1">
      <alignment horizontal="left"/>
      <protection hidden="1"/>
    </xf>
    <xf numFmtId="0" fontId="2" fillId="5" borderId="75" xfId="0" applyNumberFormat="1" applyFont="1" applyFill="1" applyBorder="1" applyAlignment="1" applyProtection="1">
      <alignment horizontal="left" vertical="center"/>
      <protection hidden="1"/>
    </xf>
    <xf numFmtId="0" fontId="2" fillId="5" borderId="76" xfId="0" applyNumberFormat="1" applyFont="1" applyFill="1" applyBorder="1" applyAlignment="1" applyProtection="1">
      <alignment horizontal="left" vertical="center"/>
      <protection hidden="1"/>
    </xf>
    <xf numFmtId="0" fontId="2" fillId="5" borderId="77" xfId="0" applyNumberFormat="1" applyFont="1" applyFill="1" applyBorder="1" applyAlignment="1" applyProtection="1">
      <alignment horizontal="left" vertical="center"/>
      <protection hidden="1"/>
    </xf>
    <xf numFmtId="0" fontId="2" fillId="5" borderId="78" xfId="0" applyNumberFormat="1" applyFont="1" applyFill="1" applyBorder="1" applyAlignment="1" applyProtection="1">
      <alignment horizontal="left" vertical="center"/>
      <protection hidden="1"/>
    </xf>
    <xf numFmtId="0" fontId="23" fillId="5" borderId="71" xfId="0" applyNumberFormat="1" applyFont="1" applyFill="1" applyBorder="1" applyAlignment="1" applyProtection="1">
      <alignment horizontal="left"/>
      <protection hidden="1"/>
    </xf>
    <xf numFmtId="0" fontId="0" fillId="0" borderId="72" xfId="0" applyFont="1" applyBorder="1"/>
    <xf numFmtId="0" fontId="0" fillId="0" borderId="45" xfId="0" applyFont="1" applyBorder="1"/>
    <xf numFmtId="0" fontId="2" fillId="2" borderId="62" xfId="0" applyNumberFormat="1" applyFont="1" applyFill="1" applyBorder="1" applyAlignment="1" applyProtection="1">
      <alignment horizontal="left" shrinkToFit="1"/>
      <protection locked="0"/>
    </xf>
    <xf numFmtId="0" fontId="2" fillId="2" borderId="86" xfId="0" applyNumberFormat="1" applyFont="1" applyFill="1" applyBorder="1" applyAlignment="1" applyProtection="1">
      <alignment horizontal="left" shrinkToFit="1"/>
      <protection locked="0"/>
    </xf>
    <xf numFmtId="0" fontId="0" fillId="0" borderId="63" xfId="0" applyBorder="1" applyAlignment="1" applyProtection="1">
      <alignment shrinkToFit="1"/>
      <protection locked="0"/>
    </xf>
    <xf numFmtId="0" fontId="2" fillId="5" borderId="87" xfId="0" applyNumberFormat="1" applyFont="1" applyFill="1" applyBorder="1" applyAlignment="1" applyProtection="1">
      <alignment horizontal="left"/>
      <protection hidden="1"/>
    </xf>
    <xf numFmtId="0" fontId="2" fillId="5" borderId="69" xfId="0" applyNumberFormat="1" applyFont="1" applyFill="1" applyBorder="1" applyAlignment="1" applyProtection="1">
      <alignment horizontal="left"/>
      <protection hidden="1"/>
    </xf>
    <xf numFmtId="0" fontId="2" fillId="5" borderId="70" xfId="0" applyNumberFormat="1" applyFont="1" applyFill="1" applyBorder="1" applyAlignment="1" applyProtection="1">
      <alignment horizontal="left"/>
      <protection hidden="1"/>
    </xf>
    <xf numFmtId="0" fontId="12" fillId="3" borderId="67" xfId="0" applyNumberFormat="1" applyFont="1" applyFill="1" applyBorder="1" applyAlignment="1" applyProtection="1">
      <alignment horizontal="left"/>
      <protection hidden="1"/>
    </xf>
    <xf numFmtId="0" fontId="0" fillId="0" borderId="0" xfId="0"/>
    <xf numFmtId="0" fontId="0" fillId="0" borderId="2" xfId="0" applyBorder="1"/>
    <xf numFmtId="0" fontId="2" fillId="9" borderId="71" xfId="0" applyNumberFormat="1" applyFont="1" applyFill="1" applyBorder="1" applyAlignment="1" applyProtection="1">
      <alignment horizontal="left"/>
      <protection hidden="1"/>
    </xf>
    <xf numFmtId="0" fontId="2" fillId="9" borderId="72" xfId="0" applyNumberFormat="1" applyFont="1" applyFill="1" applyBorder="1" applyAlignment="1" applyProtection="1">
      <alignment horizontal="left"/>
      <protection hidden="1"/>
    </xf>
    <xf numFmtId="0" fontId="2" fillId="9" borderId="45" xfId="0" applyNumberFormat="1" applyFont="1" applyFill="1" applyBorder="1" applyAlignment="1" applyProtection="1">
      <alignment horizontal="left"/>
      <protection hidden="1"/>
    </xf>
    <xf numFmtId="0" fontId="4" fillId="4" borderId="64" xfId="0" applyNumberFormat="1" applyFont="1" applyFill="1" applyBorder="1" applyAlignment="1" applyProtection="1">
      <alignment horizontal="left"/>
      <protection hidden="1"/>
    </xf>
    <xf numFmtId="0" fontId="4" fillId="4" borderId="72" xfId="0" applyNumberFormat="1" applyFont="1" applyFill="1" applyBorder="1" applyAlignment="1" applyProtection="1">
      <alignment horizontal="left"/>
      <protection hidden="1"/>
    </xf>
    <xf numFmtId="0" fontId="4" fillId="4" borderId="45" xfId="0" applyNumberFormat="1" applyFont="1" applyFill="1" applyBorder="1" applyAlignment="1" applyProtection="1">
      <alignment horizontal="left"/>
      <protection hidden="1"/>
    </xf>
    <xf numFmtId="0" fontId="4" fillId="9" borderId="55" xfId="0" applyNumberFormat="1" applyFont="1" applyFill="1" applyBorder="1" applyAlignment="1" applyProtection="1">
      <alignment horizontal="center"/>
      <protection hidden="1"/>
    </xf>
    <xf numFmtId="0" fontId="4" fillId="9" borderId="56" xfId="0" applyNumberFormat="1" applyFont="1" applyFill="1" applyBorder="1" applyAlignment="1" applyProtection="1">
      <alignment horizontal="center"/>
      <protection hidden="1"/>
    </xf>
    <xf numFmtId="0" fontId="4" fillId="9" borderId="57" xfId="0" applyNumberFormat="1" applyFont="1" applyFill="1" applyBorder="1" applyAlignment="1" applyProtection="1">
      <alignment horizontal="center"/>
      <protection hidden="1"/>
    </xf>
    <xf numFmtId="0" fontId="2" fillId="2" borderId="45" xfId="0" applyNumberFormat="1" applyFont="1" applyFill="1" applyBorder="1" applyAlignment="1" applyProtection="1">
      <alignment horizontal="left" shrinkToFit="1"/>
      <protection locked="0"/>
    </xf>
    <xf numFmtId="0" fontId="2" fillId="3" borderId="73" xfId="0" applyNumberFormat="1" applyFont="1" applyFill="1" applyBorder="1" applyAlignment="1" applyProtection="1">
      <alignment horizontal="center" vertical="center" wrapText="1"/>
    </xf>
    <xf numFmtId="0" fontId="0" fillId="0" borderId="74" xfId="0" applyFont="1" applyBorder="1"/>
    <xf numFmtId="0" fontId="2" fillId="2" borderId="68" xfId="0" applyNumberFormat="1" applyFont="1" applyFill="1" applyBorder="1" applyAlignment="1" applyProtection="1">
      <alignment horizontal="left" shrinkToFit="1"/>
      <protection locked="0"/>
    </xf>
    <xf numFmtId="0" fontId="2" fillId="2" borderId="69" xfId="0" applyNumberFormat="1" applyFont="1" applyFill="1" applyBorder="1" applyAlignment="1" applyProtection="1">
      <alignment horizontal="left" shrinkToFit="1"/>
      <protection locked="0"/>
    </xf>
    <xf numFmtId="0" fontId="2" fillId="2" borderId="70" xfId="0" applyNumberFormat="1" applyFont="1" applyFill="1" applyBorder="1" applyAlignment="1" applyProtection="1">
      <alignment horizontal="left" shrinkToFit="1"/>
      <protection locked="0"/>
    </xf>
    <xf numFmtId="0" fontId="2" fillId="3" borderId="79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80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65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59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66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81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56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8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5" xfId="0" applyNumberFormat="1" applyFont="1" applyFill="1" applyBorder="1" applyAlignment="1" applyProtection="1">
      <alignment horizontal="center" vertical="center" wrapText="1"/>
    </xf>
    <xf numFmtId="0" fontId="2" fillId="3" borderId="59" xfId="0" applyNumberFormat="1" applyFont="1" applyFill="1" applyBorder="1" applyAlignment="1" applyProtection="1">
      <alignment horizontal="center" vertical="center" wrapText="1"/>
    </xf>
    <xf numFmtId="0" fontId="2" fillId="3" borderId="66" xfId="0" applyNumberFormat="1" applyFont="1" applyFill="1" applyBorder="1" applyAlignment="1" applyProtection="1">
      <alignment horizontal="center" vertical="center" wrapText="1"/>
    </xf>
    <xf numFmtId="0" fontId="2" fillId="3" borderId="81" xfId="0" applyNumberFormat="1" applyFont="1" applyFill="1" applyBorder="1" applyAlignment="1" applyProtection="1">
      <alignment horizontal="center" vertical="center" wrapText="1"/>
    </xf>
    <xf numFmtId="0" fontId="2" fillId="3" borderId="56" xfId="0" applyNumberFormat="1" applyFont="1" applyFill="1" applyBorder="1" applyAlignment="1" applyProtection="1">
      <alignment horizontal="center" vertical="center" wrapText="1"/>
    </xf>
    <xf numFmtId="0" fontId="2" fillId="3" borderId="82" xfId="0" applyNumberFormat="1" applyFont="1" applyFill="1" applyBorder="1" applyAlignment="1" applyProtection="1">
      <alignment horizontal="center" vertical="center" wrapText="1"/>
    </xf>
    <xf numFmtId="0" fontId="2" fillId="3" borderId="65" xfId="0" applyNumberFormat="1" applyFont="1" applyFill="1" applyBorder="1" applyAlignment="1" applyProtection="1">
      <alignment horizontal="center"/>
    </xf>
    <xf numFmtId="0" fontId="2" fillId="3" borderId="66" xfId="0" applyNumberFormat="1" applyFont="1" applyFill="1" applyBorder="1" applyAlignment="1" applyProtection="1">
      <alignment horizontal="center"/>
    </xf>
    <xf numFmtId="0" fontId="2" fillId="3" borderId="83" xfId="0" applyNumberFormat="1" applyFont="1" applyFill="1" applyBorder="1" applyAlignment="1" applyProtection="1">
      <alignment horizontal="center" vertical="center" wrapText="1"/>
    </xf>
    <xf numFmtId="0" fontId="2" fillId="3" borderId="84" xfId="0" applyNumberFormat="1" applyFont="1" applyFill="1" applyBorder="1" applyAlignment="1" applyProtection="1">
      <alignment horizontal="center" vertical="center"/>
    </xf>
    <xf numFmtId="0" fontId="2" fillId="9" borderId="6" xfId="0" applyNumberFormat="1" applyFont="1" applyFill="1" applyBorder="1" applyAlignment="1" applyProtection="1">
      <alignment horizontal="left"/>
      <protection hidden="1"/>
    </xf>
    <xf numFmtId="0" fontId="2" fillId="9" borderId="1" xfId="0" applyNumberFormat="1" applyFont="1" applyFill="1" applyBorder="1" applyAlignment="1" applyProtection="1">
      <alignment horizontal="left"/>
      <protection hidden="1"/>
    </xf>
    <xf numFmtId="0" fontId="2" fillId="0" borderId="64" xfId="0" applyNumberFormat="1" applyFont="1" applyFill="1" applyBorder="1" applyAlignment="1" applyProtection="1">
      <alignment horizontal="left"/>
      <protection locked="0" hidden="1"/>
    </xf>
    <xf numFmtId="0" fontId="2" fillId="0" borderId="72" xfId="0" applyNumberFormat="1" applyFont="1" applyFill="1" applyBorder="1" applyAlignment="1" applyProtection="1">
      <alignment horizontal="left"/>
      <protection locked="0" hidden="1"/>
    </xf>
    <xf numFmtId="0" fontId="2" fillId="0" borderId="45" xfId="0" applyNumberFormat="1" applyFont="1" applyFill="1" applyBorder="1" applyAlignment="1" applyProtection="1">
      <alignment horizontal="left"/>
      <protection locked="0" hidden="1"/>
    </xf>
    <xf numFmtId="0" fontId="2" fillId="5" borderId="6" xfId="0" applyNumberFormat="1" applyFont="1" applyFill="1" applyBorder="1" applyAlignment="1" applyProtection="1">
      <alignment horizontal="left"/>
      <protection hidden="1"/>
    </xf>
    <xf numFmtId="0" fontId="2" fillId="5" borderId="1" xfId="0" applyNumberFormat="1" applyFont="1" applyFill="1" applyBorder="1" applyAlignment="1" applyProtection="1">
      <alignment horizontal="left"/>
      <protection hidden="1"/>
    </xf>
    <xf numFmtId="0" fontId="4" fillId="3" borderId="67" xfId="0" applyNumberFormat="1" applyFont="1" applyFill="1" applyBorder="1" applyAlignment="1" applyProtection="1">
      <alignment horizontal="center"/>
      <protection hidden="1"/>
    </xf>
    <xf numFmtId="0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2" xfId="0" applyNumberFormat="1" applyFont="1" applyFill="1" applyBorder="1" applyAlignment="1" applyProtection="1">
      <alignment horizontal="center"/>
      <protection hidden="1"/>
    </xf>
    <xf numFmtId="164" fontId="2" fillId="2" borderId="64" xfId="0" applyNumberFormat="1" applyFont="1" applyFill="1" applyBorder="1" applyAlignment="1" applyProtection="1">
      <alignment horizontal="left" shrinkToFit="1"/>
      <protection locked="0" hidden="1"/>
    </xf>
    <xf numFmtId="164" fontId="2" fillId="2" borderId="72" xfId="0" applyNumberFormat="1" applyFont="1" applyFill="1" applyBorder="1" applyAlignment="1" applyProtection="1">
      <alignment horizontal="left" shrinkToFit="1"/>
      <protection locked="0" hidden="1"/>
    </xf>
    <xf numFmtId="164" fontId="2" fillId="2" borderId="45" xfId="0" applyNumberFormat="1" applyFont="1" applyFill="1" applyBorder="1" applyAlignment="1" applyProtection="1">
      <alignment horizontal="left" shrinkToFit="1"/>
      <protection locked="0" hidden="1"/>
    </xf>
    <xf numFmtId="0" fontId="21" fillId="2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2" fillId="9" borderId="87" xfId="0" applyNumberFormat="1" applyFont="1" applyFill="1" applyBorder="1" applyAlignment="1" applyProtection="1">
      <alignment horizontal="left"/>
      <protection hidden="1"/>
    </xf>
    <xf numFmtId="0" fontId="2" fillId="9" borderId="69" xfId="0" applyNumberFormat="1" applyFont="1" applyFill="1" applyBorder="1" applyAlignment="1" applyProtection="1">
      <alignment horizontal="left"/>
      <protection hidden="1"/>
    </xf>
    <xf numFmtId="0" fontId="2" fillId="9" borderId="70" xfId="0" applyNumberFormat="1" applyFont="1" applyFill="1" applyBorder="1" applyAlignment="1" applyProtection="1">
      <alignment horizontal="left"/>
      <protection hidden="1"/>
    </xf>
    <xf numFmtId="0" fontId="3" fillId="2" borderId="68" xfId="0" applyNumberFormat="1" applyFont="1" applyFill="1" applyBorder="1" applyAlignment="1" applyProtection="1">
      <alignment horizontal="left" shrinkToFit="1"/>
      <protection locked="0" hidden="1"/>
    </xf>
    <xf numFmtId="0" fontId="3" fillId="2" borderId="69" xfId="0" applyNumberFormat="1" applyFont="1" applyFill="1" applyBorder="1" applyAlignment="1" applyProtection="1">
      <alignment horizontal="left" shrinkToFit="1"/>
      <protection locked="0" hidden="1"/>
    </xf>
    <xf numFmtId="0" fontId="3" fillId="2" borderId="70" xfId="0" applyNumberFormat="1" applyFont="1" applyFill="1" applyBorder="1" applyAlignment="1" applyProtection="1">
      <alignment horizontal="left" shrinkToFit="1"/>
      <protection locked="0" hidden="1"/>
    </xf>
    <xf numFmtId="0" fontId="2" fillId="4" borderId="59" xfId="0" applyNumberFormat="1" applyFont="1" applyFill="1" applyBorder="1" applyAlignment="1" applyProtection="1">
      <alignment horizontal="center"/>
    </xf>
    <xf numFmtId="0" fontId="2" fillId="4" borderId="60" xfId="0" applyNumberFormat="1" applyFont="1" applyFill="1" applyBorder="1" applyAlignment="1" applyProtection="1">
      <alignment horizontal="center"/>
    </xf>
    <xf numFmtId="0" fontId="2" fillId="0" borderId="64" xfId="0" applyNumberFormat="1" applyFont="1" applyFill="1" applyBorder="1" applyAlignment="1" applyProtection="1">
      <alignment horizontal="left"/>
      <protection locked="0"/>
    </xf>
    <xf numFmtId="0" fontId="2" fillId="0" borderId="72" xfId="0" applyNumberFormat="1" applyFont="1" applyFill="1" applyBorder="1" applyAlignment="1" applyProtection="1">
      <alignment horizontal="left"/>
      <protection locked="0"/>
    </xf>
    <xf numFmtId="0" fontId="2" fillId="0" borderId="45" xfId="0" applyNumberFormat="1" applyFont="1" applyFill="1" applyBorder="1" applyAlignment="1" applyProtection="1">
      <alignment horizontal="left"/>
      <protection locked="0"/>
    </xf>
    <xf numFmtId="0" fontId="0" fillId="0" borderId="70" xfId="0" applyBorder="1" applyAlignment="1" applyProtection="1">
      <alignment shrinkToFit="1"/>
      <protection locked="0"/>
    </xf>
    <xf numFmtId="164" fontId="2" fillId="2" borderId="64" xfId="0" applyNumberFormat="1" applyFont="1" applyFill="1" applyBorder="1" applyAlignment="1" applyProtection="1">
      <alignment horizontal="left" shrinkToFit="1"/>
      <protection locked="0"/>
    </xf>
    <xf numFmtId="164" fontId="2" fillId="2" borderId="72" xfId="0" applyNumberFormat="1" applyFont="1" applyFill="1" applyBorder="1" applyAlignment="1" applyProtection="1">
      <alignment horizontal="left" shrinkToFit="1"/>
      <protection locked="0"/>
    </xf>
    <xf numFmtId="164" fontId="2" fillId="2" borderId="45" xfId="0" applyNumberFormat="1" applyFont="1" applyFill="1" applyBorder="1" applyAlignment="1" applyProtection="1">
      <alignment horizontal="left" shrinkToFit="1"/>
      <protection locked="0"/>
    </xf>
    <xf numFmtId="0" fontId="3" fillId="2" borderId="68" xfId="0" applyNumberFormat="1" applyFont="1" applyFill="1" applyBorder="1" applyAlignment="1" applyProtection="1">
      <alignment horizontal="left" shrinkToFit="1"/>
      <protection locked="0"/>
    </xf>
    <xf numFmtId="0" fontId="3" fillId="2" borderId="69" xfId="0" applyNumberFormat="1" applyFont="1" applyFill="1" applyBorder="1" applyAlignment="1" applyProtection="1">
      <alignment horizontal="left" shrinkToFit="1"/>
      <protection locked="0"/>
    </xf>
    <xf numFmtId="0" fontId="3" fillId="2" borderId="70" xfId="0" applyNumberFormat="1" applyFont="1" applyFill="1" applyBorder="1" applyAlignment="1" applyProtection="1">
      <alignment horizontal="left" shrinkToFit="1"/>
      <protection locked="0"/>
    </xf>
    <xf numFmtId="0" fontId="21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68" xfId="0" applyNumberFormat="1" applyFont="1" applyFill="1" applyBorder="1" applyAlignment="1" applyProtection="1">
      <alignment horizontal="left" shrinkToFit="1"/>
      <protection hidden="1"/>
    </xf>
    <xf numFmtId="0" fontId="3" fillId="2" borderId="69" xfId="0" applyNumberFormat="1" applyFont="1" applyFill="1" applyBorder="1" applyAlignment="1" applyProtection="1">
      <alignment horizontal="left" shrinkToFit="1"/>
      <protection hidden="1"/>
    </xf>
    <xf numFmtId="0" fontId="3" fillId="2" borderId="70" xfId="0" applyNumberFormat="1" applyFont="1" applyFill="1" applyBorder="1" applyAlignment="1" applyProtection="1">
      <alignment horizontal="left" shrinkToFit="1"/>
      <protection hidden="1"/>
    </xf>
    <xf numFmtId="0" fontId="2" fillId="4" borderId="59" xfId="0" applyNumberFormat="1" applyFont="1" applyFill="1" applyBorder="1" applyAlignment="1" applyProtection="1">
      <alignment horizontal="center"/>
      <protection hidden="1"/>
    </xf>
    <xf numFmtId="0" fontId="2" fillId="4" borderId="60" xfId="0" applyNumberFormat="1" applyFont="1" applyFill="1" applyBorder="1" applyAlignment="1" applyProtection="1">
      <alignment horizontal="center"/>
      <protection hidden="1"/>
    </xf>
    <xf numFmtId="0" fontId="2" fillId="0" borderId="64" xfId="0" applyNumberFormat="1" applyFont="1" applyFill="1" applyBorder="1" applyAlignment="1" applyProtection="1">
      <alignment horizontal="left"/>
      <protection hidden="1"/>
    </xf>
    <xf numFmtId="0" fontId="2" fillId="0" borderId="72" xfId="0" applyNumberFormat="1" applyFont="1" applyFill="1" applyBorder="1" applyAlignment="1" applyProtection="1">
      <alignment horizontal="left"/>
      <protection hidden="1"/>
    </xf>
    <xf numFmtId="0" fontId="2" fillId="0" borderId="45" xfId="0" applyNumberFormat="1" applyFont="1" applyFill="1" applyBorder="1" applyAlignment="1" applyProtection="1">
      <alignment horizontal="left"/>
      <protection hidden="1"/>
    </xf>
    <xf numFmtId="164" fontId="2" fillId="2" borderId="64" xfId="0" applyNumberFormat="1" applyFont="1" applyFill="1" applyBorder="1" applyAlignment="1" applyProtection="1">
      <alignment horizontal="left" shrinkToFit="1"/>
      <protection hidden="1"/>
    </xf>
    <xf numFmtId="164" fontId="2" fillId="2" borderId="72" xfId="0" applyNumberFormat="1" applyFont="1" applyFill="1" applyBorder="1" applyAlignment="1" applyProtection="1">
      <alignment horizontal="left" shrinkToFit="1"/>
      <protection hidden="1"/>
    </xf>
    <xf numFmtId="164" fontId="2" fillId="2" borderId="45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2" fillId="2" borderId="64" xfId="0" applyNumberFormat="1" applyFont="1" applyFill="1" applyBorder="1" applyAlignment="1" applyProtection="1">
      <alignment horizontal="left" shrinkToFit="1"/>
      <protection hidden="1"/>
    </xf>
    <xf numFmtId="0" fontId="0" fillId="0" borderId="45" xfId="0" applyBorder="1" applyAlignment="1" applyProtection="1">
      <alignment shrinkToFit="1"/>
      <protection hidden="1"/>
    </xf>
    <xf numFmtId="0" fontId="2" fillId="3" borderId="7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4" xfId="0" applyFont="1" applyBorder="1" applyProtection="1">
      <protection hidden="1"/>
    </xf>
    <xf numFmtId="0" fontId="2" fillId="2" borderId="68" xfId="0" applyNumberFormat="1" applyFont="1" applyFill="1" applyBorder="1" applyAlignment="1" applyProtection="1">
      <alignment horizontal="left" shrinkToFit="1"/>
      <protection hidden="1"/>
    </xf>
    <xf numFmtId="0" fontId="0" fillId="0" borderId="70" xfId="0" applyBorder="1" applyAlignment="1" applyProtection="1">
      <alignment shrinkToFit="1"/>
      <protection hidden="1"/>
    </xf>
    <xf numFmtId="0" fontId="2" fillId="3" borderId="6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8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8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5" xfId="0" applyNumberFormat="1" applyFont="1" applyFill="1" applyBorder="1" applyAlignment="1" applyProtection="1">
      <alignment horizontal="center"/>
      <protection hidden="1"/>
    </xf>
    <xf numFmtId="0" fontId="2" fillId="3" borderId="66" xfId="0" applyNumberFormat="1" applyFont="1" applyFill="1" applyBorder="1" applyAlignment="1" applyProtection="1">
      <alignment horizontal="center"/>
      <protection hidden="1"/>
    </xf>
    <xf numFmtId="0" fontId="2" fillId="3" borderId="8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84" xfId="0" applyNumberFormat="1" applyFont="1" applyFill="1" applyBorder="1" applyAlignment="1" applyProtection="1">
      <alignment horizontal="center" vertical="center"/>
      <protection hidden="1"/>
    </xf>
    <xf numFmtId="0" fontId="16" fillId="4" borderId="58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59" xfId="0" applyNumberFormat="1" applyFont="1" applyFill="1" applyBorder="1" applyAlignment="1" applyProtection="1">
      <alignment horizontal="center" vertical="center"/>
      <protection hidden="1"/>
    </xf>
    <xf numFmtId="0" fontId="16" fillId="4" borderId="60" xfId="0" applyNumberFormat="1" applyFont="1" applyFill="1" applyBorder="1" applyAlignment="1" applyProtection="1">
      <alignment horizontal="center" vertical="center"/>
      <protection hidden="1"/>
    </xf>
    <xf numFmtId="0" fontId="16" fillId="4" borderId="61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16" fillId="4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Font="1" applyBorder="1" applyProtection="1">
      <protection hidden="1"/>
    </xf>
    <xf numFmtId="0" fontId="0" fillId="0" borderId="45" xfId="0" applyFont="1" applyBorder="1" applyProtection="1">
      <protection hidden="1"/>
    </xf>
    <xf numFmtId="0" fontId="2" fillId="2" borderId="62" xfId="0" applyNumberFormat="1" applyFont="1" applyFill="1" applyBorder="1" applyAlignment="1" applyProtection="1">
      <alignment horizontal="left" shrinkToFit="1"/>
      <protection hidden="1"/>
    </xf>
    <xf numFmtId="0" fontId="0" fillId="0" borderId="63" xfId="0" applyBorder="1" applyAlignment="1" applyProtection="1">
      <alignment shrinkToFit="1"/>
      <protection hidden="1"/>
    </xf>
    <xf numFmtId="0" fontId="17" fillId="2" borderId="0" xfId="0" applyNumberFormat="1" applyFont="1" applyFill="1" applyBorder="1" applyAlignment="1" applyProtection="1">
      <alignment horizontal="left"/>
      <protection hidden="1"/>
    </xf>
    <xf numFmtId="0" fontId="16" fillId="4" borderId="55" xfId="0" applyNumberFormat="1" applyFont="1" applyFill="1" applyBorder="1" applyAlignment="1" applyProtection="1">
      <alignment horizontal="center" vertical="center"/>
      <protection hidden="1"/>
    </xf>
    <xf numFmtId="0" fontId="16" fillId="4" borderId="56" xfId="0" applyNumberFormat="1" applyFont="1" applyFill="1" applyBorder="1" applyAlignment="1" applyProtection="1">
      <alignment horizontal="center" vertical="center"/>
      <protection hidden="1"/>
    </xf>
    <xf numFmtId="0" fontId="16" fillId="4" borderId="57" xfId="0" applyNumberFormat="1" applyFont="1" applyFill="1" applyBorder="1" applyAlignment="1" applyProtection="1">
      <alignment horizontal="center" vertical="center"/>
      <protection hidden="1"/>
    </xf>
    <xf numFmtId="0" fontId="2" fillId="2" borderId="59" xfId="0" applyNumberFormat="1" applyFont="1" applyFill="1" applyBorder="1" applyAlignment="1" applyProtection="1">
      <alignment horizontal="center"/>
      <protection hidden="1"/>
    </xf>
    <xf numFmtId="0" fontId="2" fillId="2" borderId="0" xfId="0" applyNumberFormat="1" applyFont="1" applyFill="1" applyBorder="1" applyAlignment="1" applyProtection="1">
      <alignment horizontal="right"/>
      <protection hidden="1"/>
    </xf>
  </cellXfs>
  <cellStyles count="1">
    <cellStyle name="Normální" xfId="0" builtinId="0"/>
  </cellStyles>
  <dxfs count="29">
    <dxf>
      <font>
        <strike/>
        <condense val="0"/>
        <extend val="0"/>
        <color indexed="10"/>
      </font>
    </dxf>
    <dxf>
      <fill>
        <patternFill>
          <bgColor indexed="41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>
          <bgColor indexed="41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>
          <bgColor indexed="41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>
          <bgColor indexed="41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6"/>
  <sheetViews>
    <sheetView showGridLines="0" showRowColHeaders="0" tabSelected="1" zoomScaleNormal="100" workbookViewId="0">
      <selection activeCell="B1" sqref="B1:M1"/>
    </sheetView>
  </sheetViews>
  <sheetFormatPr defaultColWidth="0" defaultRowHeight="0" customHeight="1" zeroHeight="1" x14ac:dyDescent="0.2"/>
  <cols>
    <col min="1" max="1" width="3" style="5" customWidth="1"/>
    <col min="2" max="2" width="3.7109375" style="1" customWidth="1"/>
    <col min="3" max="3" width="11.42578125" style="1" customWidth="1"/>
    <col min="4" max="5" width="11.42578125" style="1" hidden="1" customWidth="1"/>
    <col min="6" max="6" width="13.28515625" style="1" customWidth="1"/>
    <col min="7" max="7" width="10.7109375" style="1" customWidth="1"/>
    <col min="8" max="8" width="10.7109375" style="1" hidden="1" customWidth="1"/>
    <col min="9" max="9" width="11.85546875" style="1" customWidth="1"/>
    <col min="10" max="11" width="10.7109375" style="1" customWidth="1"/>
    <col min="12" max="12" width="7.42578125" style="1" customWidth="1"/>
    <col min="13" max="13" width="9.7109375" style="1" customWidth="1"/>
    <col min="14" max="14" width="1.85546875" style="30" customWidth="1"/>
    <col min="15" max="15" width="5" style="13" hidden="1" customWidth="1"/>
    <col min="16" max="16" width="43" style="13" hidden="1" customWidth="1"/>
    <col min="17" max="17" width="7.5703125" style="14" hidden="1" customWidth="1"/>
    <col min="18" max="18" width="20.42578125" style="14" hidden="1" customWidth="1"/>
    <col min="19" max="19" width="7.5703125" style="14" hidden="1" customWidth="1"/>
    <col min="20" max="20" width="36.42578125" style="14" hidden="1" customWidth="1"/>
    <col min="21" max="21" width="7.5703125" style="14" hidden="1" customWidth="1"/>
    <col min="22" max="22" width="35.5703125" style="14" hidden="1" customWidth="1"/>
    <col min="23" max="23" width="7.5703125" style="15" hidden="1" customWidth="1"/>
    <col min="24" max="24" width="36.42578125" style="15" hidden="1" customWidth="1"/>
    <col min="25" max="25" width="7.5703125" style="15" hidden="1" customWidth="1"/>
    <col min="26" max="26" width="11.28515625" style="15" hidden="1" customWidth="1"/>
    <col min="27" max="27" width="7.5703125" style="15" hidden="1" customWidth="1"/>
    <col min="28" max="28" width="19.85546875" style="15" hidden="1" customWidth="1"/>
    <col min="29" max="29" width="7.5703125" style="15" hidden="1" customWidth="1"/>
    <col min="30" max="30" width="2" style="5" customWidth="1"/>
    <col min="31" max="16384" width="10.7109375" style="5" hidden="1"/>
  </cols>
  <sheetData>
    <row r="1" spans="2:28" ht="26.25" customHeight="1" thickTop="1" thickBot="1" x14ac:dyDescent="0.55000000000000004">
      <c r="B1" s="309" t="s">
        <v>61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40"/>
      <c r="O1" s="70" t="s">
        <v>29</v>
      </c>
      <c r="P1" s="71" t="s">
        <v>34</v>
      </c>
      <c r="Q1" s="105" t="s">
        <v>51</v>
      </c>
      <c r="T1" s="70" t="s">
        <v>30</v>
      </c>
      <c r="U1" s="71" t="s">
        <v>33</v>
      </c>
      <c r="X1" s="72" t="s">
        <v>32</v>
      </c>
      <c r="Y1" s="73"/>
      <c r="Z1" s="62" t="s">
        <v>10</v>
      </c>
      <c r="AA1" s="63"/>
      <c r="AB1" s="64"/>
    </row>
    <row r="2" spans="2:28" ht="20.25" customHeight="1" thickTop="1" thickBot="1" x14ac:dyDescent="0.3">
      <c r="B2" s="310" t="s">
        <v>60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8"/>
      <c r="O2" s="54">
        <v>1</v>
      </c>
      <c r="P2" s="55" t="s">
        <v>39</v>
      </c>
      <c r="Q2" s="104">
        <v>1</v>
      </c>
      <c r="T2" s="56" t="s">
        <v>39</v>
      </c>
      <c r="U2" s="42">
        <v>1</v>
      </c>
      <c r="X2" s="65" t="s">
        <v>27</v>
      </c>
      <c r="Y2" s="66" t="s">
        <v>3</v>
      </c>
      <c r="Z2" s="67" t="s">
        <v>27</v>
      </c>
      <c r="AA2" s="68" t="s">
        <v>3</v>
      </c>
      <c r="AB2" s="69" t="s">
        <v>28</v>
      </c>
    </row>
    <row r="3" spans="2:28" ht="13.5" thickTop="1" x14ac:dyDescent="0.2">
      <c r="B3" s="224" t="s">
        <v>63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19"/>
      <c r="O3" s="57">
        <v>2</v>
      </c>
      <c r="P3" s="61" t="s">
        <v>39</v>
      </c>
      <c r="Q3" s="102">
        <v>1</v>
      </c>
      <c r="T3" s="57" t="s">
        <v>47</v>
      </c>
      <c r="U3" s="45">
        <v>2</v>
      </c>
      <c r="X3" s="43"/>
      <c r="Y3" s="44">
        <v>-100</v>
      </c>
      <c r="Z3" s="93"/>
      <c r="AA3" s="94"/>
      <c r="AB3" s="95"/>
    </row>
    <row r="4" spans="2:28" ht="13.5" thickBot="1" x14ac:dyDescent="0.25"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19"/>
      <c r="O4" s="57">
        <v>3</v>
      </c>
      <c r="P4" s="58" t="s">
        <v>40</v>
      </c>
      <c r="Q4" s="102">
        <v>2</v>
      </c>
      <c r="T4" s="57" t="s">
        <v>42</v>
      </c>
      <c r="U4" s="45">
        <v>3</v>
      </c>
      <c r="X4" s="46">
        <v>1</v>
      </c>
      <c r="Y4" s="47">
        <v>2</v>
      </c>
      <c r="Z4" s="96">
        <f t="shared" ref="Z4:Z10" si="0">IF(AND($I$36&gt;=Y3,$I$36&lt;Y4),X4,"")</f>
        <v>1</v>
      </c>
      <c r="AA4" s="97">
        <f t="shared" ref="AA4:AA10" si="1">IF(AND($I$36&gt;=Y3,$I$36&lt;Y4),Y4,"")</f>
        <v>2</v>
      </c>
      <c r="AB4" s="98">
        <f t="shared" ref="AB4:AB10" si="2">IF(AND($I$36&gt;=Y3,$I$36&lt;Y4),Y5-Y4,"")</f>
        <v>4</v>
      </c>
    </row>
    <row r="5" spans="2:28" ht="22.5" customHeight="1" x14ac:dyDescent="0.2">
      <c r="B5" s="312" t="s">
        <v>8</v>
      </c>
      <c r="C5" s="313"/>
      <c r="D5" s="313"/>
      <c r="E5" s="313"/>
      <c r="F5" s="314"/>
      <c r="G5" s="315"/>
      <c r="H5" s="316"/>
      <c r="I5" s="316"/>
      <c r="J5" s="316"/>
      <c r="K5" s="317"/>
      <c r="L5" s="318"/>
      <c r="M5" s="319"/>
      <c r="N5" s="20"/>
      <c r="O5" s="57">
        <v>4</v>
      </c>
      <c r="P5" s="58" t="s">
        <v>41</v>
      </c>
      <c r="Q5" s="102">
        <v>2</v>
      </c>
      <c r="T5" s="57" t="s">
        <v>44</v>
      </c>
      <c r="U5" s="45">
        <v>4</v>
      </c>
      <c r="X5" s="46">
        <v>2</v>
      </c>
      <c r="Y5" s="47">
        <v>6</v>
      </c>
      <c r="Z5" s="96" t="str">
        <f t="shared" si="0"/>
        <v/>
      </c>
      <c r="AA5" s="97" t="str">
        <f t="shared" si="1"/>
        <v/>
      </c>
      <c r="AB5" s="98" t="str">
        <f t="shared" si="2"/>
        <v/>
      </c>
    </row>
    <row r="6" spans="2:28" ht="12.75" x14ac:dyDescent="0.2">
      <c r="B6" s="263" t="s">
        <v>50</v>
      </c>
      <c r="C6" s="264"/>
      <c r="D6" s="264"/>
      <c r="E6" s="264"/>
      <c r="F6" s="265"/>
      <c r="G6" s="298"/>
      <c r="H6" s="299"/>
      <c r="I6" s="299"/>
      <c r="J6" s="299"/>
      <c r="K6" s="299"/>
      <c r="L6" s="300"/>
      <c r="M6" s="33"/>
      <c r="N6" s="29"/>
      <c r="O6" s="57">
        <v>5</v>
      </c>
      <c r="P6" s="58" t="s">
        <v>42</v>
      </c>
      <c r="Q6" s="102">
        <v>3</v>
      </c>
      <c r="T6" s="57" t="s">
        <v>48</v>
      </c>
      <c r="U6" s="45">
        <v>5</v>
      </c>
      <c r="X6" s="46">
        <v>3</v>
      </c>
      <c r="Y6" s="48">
        <v>12</v>
      </c>
      <c r="Z6" s="96" t="str">
        <f t="shared" si="0"/>
        <v/>
      </c>
      <c r="AA6" s="97" t="str">
        <f t="shared" si="1"/>
        <v/>
      </c>
      <c r="AB6" s="98" t="str">
        <f t="shared" si="2"/>
        <v/>
      </c>
    </row>
    <row r="7" spans="2:28" ht="12.75" x14ac:dyDescent="0.2">
      <c r="B7" s="301" t="s">
        <v>6</v>
      </c>
      <c r="C7" s="302"/>
      <c r="D7" s="302"/>
      <c r="E7" s="302"/>
      <c r="F7" s="302"/>
      <c r="G7" s="32"/>
      <c r="H7" s="221"/>
      <c r="I7" s="303"/>
      <c r="J7" s="304"/>
      <c r="K7" s="304"/>
      <c r="L7" s="304"/>
      <c r="M7" s="305"/>
      <c r="N7" s="21"/>
      <c r="O7" s="57">
        <v>6</v>
      </c>
      <c r="P7" s="58" t="s">
        <v>43</v>
      </c>
      <c r="Q7" s="102">
        <v>3</v>
      </c>
      <c r="T7" s="57" t="s">
        <v>49</v>
      </c>
      <c r="U7" s="45">
        <v>6</v>
      </c>
      <c r="X7" s="46">
        <v>4</v>
      </c>
      <c r="Y7" s="48">
        <v>19</v>
      </c>
      <c r="Z7" s="96" t="str">
        <f t="shared" si="0"/>
        <v/>
      </c>
      <c r="AA7" s="97" t="str">
        <f t="shared" si="1"/>
        <v/>
      </c>
      <c r="AB7" s="98" t="str">
        <f t="shared" si="2"/>
        <v/>
      </c>
    </row>
    <row r="8" spans="2:28" ht="13.5" thickBot="1" x14ac:dyDescent="0.25">
      <c r="B8" s="301" t="s">
        <v>0</v>
      </c>
      <c r="C8" s="302"/>
      <c r="D8" s="302"/>
      <c r="E8" s="302"/>
      <c r="F8" s="302"/>
      <c r="G8" s="306"/>
      <c r="H8" s="307"/>
      <c r="I8" s="307"/>
      <c r="J8" s="307"/>
      <c r="K8" s="307"/>
      <c r="L8" s="308"/>
      <c r="M8" s="6"/>
      <c r="N8" s="22"/>
      <c r="O8" s="57">
        <v>7</v>
      </c>
      <c r="P8" s="58" t="s">
        <v>44</v>
      </c>
      <c r="Q8" s="102">
        <v>4</v>
      </c>
      <c r="T8" s="59" t="s">
        <v>46</v>
      </c>
      <c r="U8" s="49">
        <v>7</v>
      </c>
      <c r="X8" s="46">
        <v>5</v>
      </c>
      <c r="Y8" s="48">
        <v>27</v>
      </c>
      <c r="Z8" s="96" t="str">
        <f t="shared" si="0"/>
        <v/>
      </c>
      <c r="AA8" s="97" t="str">
        <f t="shared" si="1"/>
        <v/>
      </c>
      <c r="AB8" s="98" t="str">
        <f t="shared" si="2"/>
        <v/>
      </c>
    </row>
    <row r="9" spans="2:28" ht="14.25" thickTop="1" thickBot="1" x14ac:dyDescent="0.25">
      <c r="B9" s="296" t="s">
        <v>9</v>
      </c>
      <c r="C9" s="297"/>
      <c r="D9" s="297"/>
      <c r="E9" s="297"/>
      <c r="F9" s="297"/>
      <c r="G9" s="112"/>
      <c r="H9" s="222"/>
      <c r="I9" s="260" t="str">
        <f>IF(OR(G6="",G9=0),"",IF(VLOOKUP(G9,O2:Q17,3)&lt;=VLOOKUP(G6,T11:V17,3),"","Výjimečné zařazení zaměstnance do této platové třídy"))</f>
        <v/>
      </c>
      <c r="J9" s="261"/>
      <c r="K9" s="261"/>
      <c r="L9" s="261"/>
      <c r="M9" s="262"/>
      <c r="N9" s="23"/>
      <c r="O9" s="57">
        <v>8</v>
      </c>
      <c r="P9" s="58" t="s">
        <v>44</v>
      </c>
      <c r="Q9" s="102">
        <v>4</v>
      </c>
      <c r="T9" s="74"/>
      <c r="X9" s="46">
        <v>6</v>
      </c>
      <c r="Y9" s="48">
        <v>32</v>
      </c>
      <c r="Z9" s="96" t="str">
        <f t="shared" si="0"/>
        <v/>
      </c>
      <c r="AA9" s="97" t="str">
        <f t="shared" si="1"/>
        <v/>
      </c>
      <c r="AB9" s="98" t="str">
        <f t="shared" si="2"/>
        <v/>
      </c>
    </row>
    <row r="10" spans="2:28" ht="15.75" thickBot="1" x14ac:dyDescent="0.25">
      <c r="B10" s="263" t="s">
        <v>34</v>
      </c>
      <c r="C10" s="264"/>
      <c r="D10" s="264"/>
      <c r="E10" s="264"/>
      <c r="F10" s="265"/>
      <c r="G10" s="266" t="str">
        <f>IF(G9="","",VLOOKUP(G9,O2:P17,2))</f>
        <v/>
      </c>
      <c r="H10" s="267"/>
      <c r="I10" s="267"/>
      <c r="J10" s="267"/>
      <c r="K10" s="267"/>
      <c r="L10" s="268"/>
      <c r="M10" s="111"/>
      <c r="N10" s="24"/>
      <c r="O10" s="57">
        <v>9</v>
      </c>
      <c r="P10" s="58" t="s">
        <v>45</v>
      </c>
      <c r="Q10" s="102">
        <v>4</v>
      </c>
      <c r="T10" s="90" t="s">
        <v>20</v>
      </c>
      <c r="U10" s="109" t="s">
        <v>19</v>
      </c>
      <c r="V10" s="110" t="s">
        <v>33</v>
      </c>
      <c r="X10" s="46">
        <v>7</v>
      </c>
      <c r="Y10" s="48">
        <v>100</v>
      </c>
      <c r="Z10" s="96" t="str">
        <f t="shared" si="0"/>
        <v/>
      </c>
      <c r="AA10" s="97" t="str">
        <f t="shared" si="1"/>
        <v/>
      </c>
      <c r="AB10" s="98" t="str">
        <f t="shared" si="2"/>
        <v/>
      </c>
    </row>
    <row r="11" spans="2:28" ht="15.75" thickBot="1" x14ac:dyDescent="0.25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1"/>
      <c r="N11" s="24"/>
      <c r="O11" s="57">
        <v>10</v>
      </c>
      <c r="P11" s="58" t="s">
        <v>52</v>
      </c>
      <c r="Q11" s="102">
        <v>5</v>
      </c>
      <c r="T11" s="84" t="str">
        <f>IF(G9="","",VLOOKUP(G9,O20:AC35,2))</f>
        <v/>
      </c>
      <c r="U11" s="87" t="str">
        <f>IF(G9="","",VLOOKUP(G9,O20:AC35,3))</f>
        <v/>
      </c>
      <c r="V11" s="108">
        <v>2</v>
      </c>
      <c r="X11" s="46"/>
      <c r="Y11" s="48"/>
      <c r="Z11" s="116"/>
      <c r="AA11" s="117"/>
      <c r="AB11" s="118"/>
    </row>
    <row r="12" spans="2:28" ht="15" x14ac:dyDescent="0.2">
      <c r="B12" s="278" t="s">
        <v>12</v>
      </c>
      <c r="C12" s="280" t="s">
        <v>35</v>
      </c>
      <c r="D12" s="281"/>
      <c r="E12" s="281"/>
      <c r="F12" s="282"/>
      <c r="G12" s="286" t="s">
        <v>36</v>
      </c>
      <c r="H12" s="287"/>
      <c r="I12" s="288"/>
      <c r="J12" s="292" t="s">
        <v>38</v>
      </c>
      <c r="K12" s="293"/>
      <c r="L12" s="294" t="s">
        <v>22</v>
      </c>
      <c r="M12" s="273" t="s">
        <v>57</v>
      </c>
      <c r="N12" s="24"/>
      <c r="O12" s="57">
        <v>11</v>
      </c>
      <c r="P12" s="58" t="s">
        <v>53</v>
      </c>
      <c r="Q12" s="102">
        <v>6</v>
      </c>
      <c r="T12" s="85" t="str">
        <f>IF(G9="","",VLOOKUP(G9,O20:AC35,4))</f>
        <v/>
      </c>
      <c r="U12" s="88" t="str">
        <f>IF(G9="","",VLOOKUP(G9,O20:AC35,5))</f>
        <v/>
      </c>
      <c r="V12" s="106">
        <v>4</v>
      </c>
      <c r="X12" s="46"/>
      <c r="Y12" s="48"/>
      <c r="Z12" s="116"/>
      <c r="AA12" s="117"/>
      <c r="AB12" s="118"/>
    </row>
    <row r="13" spans="2:28" ht="15.75" thickBot="1" x14ac:dyDescent="0.25">
      <c r="B13" s="279"/>
      <c r="C13" s="283"/>
      <c r="D13" s="284"/>
      <c r="E13" s="284"/>
      <c r="F13" s="285"/>
      <c r="G13" s="289"/>
      <c r="H13" s="290"/>
      <c r="I13" s="291"/>
      <c r="J13" s="119" t="s">
        <v>1</v>
      </c>
      <c r="K13" s="120" t="s">
        <v>2</v>
      </c>
      <c r="L13" s="295"/>
      <c r="M13" s="274"/>
      <c r="N13" s="24"/>
      <c r="O13" s="57">
        <v>12</v>
      </c>
      <c r="P13" s="58" t="s">
        <v>53</v>
      </c>
      <c r="Q13" s="102">
        <v>6</v>
      </c>
      <c r="T13" s="85" t="str">
        <f>IF(G9="","",VLOOKUP(G9,O20:AC35,6))</f>
        <v/>
      </c>
      <c r="U13" s="88" t="str">
        <f>IF(G9="","",VLOOKUP(G9,O20:AC35,7))</f>
        <v/>
      </c>
      <c r="V13" s="106">
        <v>3</v>
      </c>
      <c r="X13" s="46"/>
      <c r="Y13" s="48"/>
      <c r="Z13" s="116"/>
      <c r="AA13" s="117"/>
      <c r="AB13" s="118"/>
    </row>
    <row r="14" spans="2:28" ht="12.75" x14ac:dyDescent="0.2">
      <c r="B14" s="9">
        <v>1</v>
      </c>
      <c r="C14" s="275"/>
      <c r="D14" s="276"/>
      <c r="E14" s="276"/>
      <c r="F14" s="277"/>
      <c r="G14" s="275"/>
      <c r="H14" s="276"/>
      <c r="I14" s="277"/>
      <c r="J14" s="7"/>
      <c r="K14" s="7"/>
      <c r="L14" s="8"/>
      <c r="M14" s="16" t="str">
        <f>IF(AND(J14&gt;0,K14&gt;0,K14&gt;=J14),(YEAR(K14)-YEAR(J14-1)+(MONTH(K14)-MONTH(J14-1))/12+(DAY(K14)-DAY(J14-1))/365.25)*L14,"")</f>
        <v/>
      </c>
      <c r="N14" s="22"/>
      <c r="O14" s="57">
        <v>13</v>
      </c>
      <c r="P14" s="58" t="s">
        <v>46</v>
      </c>
      <c r="Q14" s="102">
        <v>7</v>
      </c>
      <c r="T14" s="85" t="str">
        <f>IF(G9="","",VLOOKUP(G9,O20:AC35,8))</f>
        <v/>
      </c>
      <c r="U14" s="88" t="str">
        <f>IF(G9="","",VLOOKUP(G9,O20:AC35,9))</f>
        <v/>
      </c>
      <c r="V14" s="106">
        <v>6</v>
      </c>
      <c r="X14" s="46"/>
      <c r="Y14" s="48"/>
      <c r="Z14" s="116"/>
      <c r="AA14" s="117"/>
      <c r="AB14" s="118"/>
    </row>
    <row r="15" spans="2:28" ht="12.75" x14ac:dyDescent="0.2">
      <c r="B15" s="10" t="str">
        <f t="shared" ref="B15:B33" si="3">IF(AND(C15="",G15=""),"",B14+1)</f>
        <v/>
      </c>
      <c r="C15" s="235"/>
      <c r="D15" s="236"/>
      <c r="E15" s="236"/>
      <c r="F15" s="272"/>
      <c r="G15" s="235"/>
      <c r="H15" s="236"/>
      <c r="I15" s="272"/>
      <c r="J15" s="2"/>
      <c r="K15" s="7"/>
      <c r="L15" s="8"/>
      <c r="M15" s="17" t="str">
        <f t="shared" ref="M15:M33" si="4">IF(AND(J15&gt;0,K15&gt;0,K15&gt;=J15,L15&gt;=0,J15&gt;K14),(YEAR(K15)-YEAR(J15-1)+(MONTH(K15)-MONTH(J15-1))/12+(DAY(K15)-DAY(J15-1))/365.25)*L15,"")</f>
        <v/>
      </c>
      <c r="N15" s="22"/>
      <c r="O15" s="57">
        <v>14</v>
      </c>
      <c r="P15" s="58" t="s">
        <v>46</v>
      </c>
      <c r="Q15" s="102">
        <v>7</v>
      </c>
      <c r="T15" s="85" t="str">
        <f>IF(G9="","",VLOOKUP(G9,O20:AC35,10))</f>
        <v/>
      </c>
      <c r="U15" s="88" t="str">
        <f>IF(G9="","",VLOOKUP(G9,O20:AC35,11))</f>
        <v/>
      </c>
      <c r="V15" s="106">
        <v>7</v>
      </c>
      <c r="X15" s="46"/>
      <c r="Y15" s="48"/>
      <c r="Z15" s="116"/>
      <c r="AA15" s="117"/>
      <c r="AB15" s="118"/>
    </row>
    <row r="16" spans="2:28" ht="13.5" thickBot="1" x14ac:dyDescent="0.25">
      <c r="B16" s="10" t="str">
        <f t="shared" si="3"/>
        <v/>
      </c>
      <c r="C16" s="235"/>
      <c r="D16" s="236"/>
      <c r="E16" s="236"/>
      <c r="F16" s="237"/>
      <c r="G16" s="235"/>
      <c r="H16" s="236"/>
      <c r="I16" s="237"/>
      <c r="J16" s="2"/>
      <c r="K16" s="7"/>
      <c r="L16" s="8"/>
      <c r="M16" s="17" t="str">
        <f t="shared" si="4"/>
        <v/>
      </c>
      <c r="N16" s="25"/>
      <c r="O16" s="57">
        <v>15</v>
      </c>
      <c r="P16" s="58" t="s">
        <v>46</v>
      </c>
      <c r="Q16" s="102">
        <v>7</v>
      </c>
      <c r="T16" s="85" t="str">
        <f>IF(G9="","",VLOOKUP(G9,O20:AC35,12))</f>
        <v/>
      </c>
      <c r="U16" s="88" t="str">
        <f>IF(G9="","",VLOOKUP(G9,O20:AC35,13))</f>
        <v/>
      </c>
      <c r="V16" s="106">
        <v>5</v>
      </c>
      <c r="X16" s="50"/>
      <c r="Y16" s="51"/>
      <c r="Z16" s="113"/>
      <c r="AA16" s="114"/>
      <c r="AB16" s="115"/>
    </row>
    <row r="17" spans="2:29" s="4" customFormat="1" ht="14.25" thickTop="1" thickBot="1" x14ac:dyDescent="0.25">
      <c r="B17" s="10" t="str">
        <f t="shared" si="3"/>
        <v/>
      </c>
      <c r="C17" s="235"/>
      <c r="D17" s="236"/>
      <c r="E17" s="236"/>
      <c r="F17" s="237"/>
      <c r="G17" s="235"/>
      <c r="H17" s="236"/>
      <c r="I17" s="237"/>
      <c r="J17" s="2"/>
      <c r="K17" s="7"/>
      <c r="L17" s="8"/>
      <c r="M17" s="17" t="str">
        <f t="shared" si="4"/>
        <v/>
      </c>
      <c r="N17" s="41"/>
      <c r="O17" s="59">
        <v>16</v>
      </c>
      <c r="P17" s="60" t="s">
        <v>46</v>
      </c>
      <c r="Q17" s="103">
        <v>7</v>
      </c>
      <c r="T17" s="86" t="str">
        <f>IF(G9="","",VLOOKUP(G9,O20:AC35,14))</f>
        <v/>
      </c>
      <c r="U17" s="89" t="str">
        <f>IF(G9="","",VLOOKUP(G9,O20:AC35,15))</f>
        <v/>
      </c>
      <c r="V17" s="107">
        <v>1</v>
      </c>
      <c r="X17" s="52" t="s">
        <v>11</v>
      </c>
      <c r="Y17" s="53"/>
      <c r="Z17" s="99">
        <f>SUM(Z4:Z16)</f>
        <v>1</v>
      </c>
      <c r="AA17" s="100">
        <f>SUM(AA4:AA16)</f>
        <v>2</v>
      </c>
      <c r="AB17" s="101">
        <f>SUM(AB4:AB16)</f>
        <v>4</v>
      </c>
    </row>
    <row r="18" spans="2:29" ht="14.25" thickTop="1" thickBot="1" x14ac:dyDescent="0.25">
      <c r="B18" s="10" t="str">
        <f t="shared" si="3"/>
        <v/>
      </c>
      <c r="C18" s="235"/>
      <c r="D18" s="236"/>
      <c r="E18" s="236"/>
      <c r="F18" s="237"/>
      <c r="G18" s="235"/>
      <c r="H18" s="236"/>
      <c r="I18" s="237"/>
      <c r="J18" s="2"/>
      <c r="K18" s="7"/>
      <c r="L18" s="8"/>
      <c r="M18" s="17" t="str">
        <f t="shared" si="4"/>
        <v/>
      </c>
      <c r="N18" s="26"/>
      <c r="O18" s="15"/>
      <c r="P18" s="15"/>
      <c r="Q18" s="15"/>
      <c r="R18" s="15"/>
      <c r="S18" s="15"/>
      <c r="T18" s="15"/>
      <c r="U18" s="15"/>
      <c r="V18" s="15"/>
    </row>
    <row r="19" spans="2:29" ht="14.25" thickTop="1" thickBot="1" x14ac:dyDescent="0.25">
      <c r="B19" s="10" t="str">
        <f t="shared" si="3"/>
        <v/>
      </c>
      <c r="C19" s="235"/>
      <c r="D19" s="236"/>
      <c r="E19" s="236"/>
      <c r="F19" s="237"/>
      <c r="G19" s="235"/>
      <c r="H19" s="236"/>
      <c r="I19" s="237"/>
      <c r="J19" s="2"/>
      <c r="K19" s="7"/>
      <c r="L19" s="8"/>
      <c r="M19" s="17" t="str">
        <f t="shared" si="4"/>
        <v/>
      </c>
      <c r="N19" s="26"/>
      <c r="O19" s="75" t="s">
        <v>29</v>
      </c>
      <c r="P19" s="76" t="s">
        <v>30</v>
      </c>
      <c r="Q19" s="77" t="s">
        <v>31</v>
      </c>
      <c r="R19" s="76" t="s">
        <v>30</v>
      </c>
      <c r="S19" s="77" t="s">
        <v>31</v>
      </c>
      <c r="T19" s="76" t="s">
        <v>30</v>
      </c>
      <c r="U19" s="77" t="s">
        <v>31</v>
      </c>
      <c r="V19" s="76" t="s">
        <v>30</v>
      </c>
      <c r="W19" s="77" t="s">
        <v>31</v>
      </c>
      <c r="X19" s="76" t="s">
        <v>30</v>
      </c>
      <c r="Y19" s="77" t="s">
        <v>31</v>
      </c>
      <c r="Z19" s="76" t="s">
        <v>30</v>
      </c>
      <c r="AA19" s="77" t="s">
        <v>31</v>
      </c>
      <c r="AB19" s="78" t="s">
        <v>30</v>
      </c>
      <c r="AC19" s="77" t="s">
        <v>31</v>
      </c>
    </row>
    <row r="20" spans="2:29" ht="12.75" x14ac:dyDescent="0.2">
      <c r="B20" s="10" t="str">
        <f t="shared" si="3"/>
        <v/>
      </c>
      <c r="C20" s="235"/>
      <c r="D20" s="236"/>
      <c r="E20" s="236"/>
      <c r="F20" s="237"/>
      <c r="G20" s="235"/>
      <c r="H20" s="236"/>
      <c r="I20" s="237"/>
      <c r="J20" s="2"/>
      <c r="K20" s="7"/>
      <c r="L20" s="8"/>
      <c r="M20" s="17" t="str">
        <f t="shared" si="4"/>
        <v/>
      </c>
      <c r="N20" s="26"/>
      <c r="O20" s="79">
        <v>1</v>
      </c>
      <c r="P20" s="82" t="str">
        <f t="shared" ref="P20:P35" si="5">$T$3</f>
        <v xml:space="preserve">střední </v>
      </c>
      <c r="Q20" s="61">
        <v>0</v>
      </c>
      <c r="R20" s="82" t="str">
        <f t="shared" ref="R20:R35" si="6">$T$5</f>
        <v>střední s maturitní zkouškou</v>
      </c>
      <c r="S20" s="61">
        <v>0</v>
      </c>
      <c r="T20" s="82" t="str">
        <f t="shared" ref="T20:T35" si="7">$T$4</f>
        <v>střední s výučním listem</v>
      </c>
      <c r="U20" s="61">
        <v>0</v>
      </c>
      <c r="V20" s="91" t="str">
        <f t="shared" ref="V20:V35" si="8">$T$7</f>
        <v>vysokoškolské v bakalářském studijním programu</v>
      </c>
      <c r="W20" s="61">
        <v>0</v>
      </c>
      <c r="X20" s="82" t="str">
        <f t="shared" ref="X20:X35" si="9">$T$8</f>
        <v>vysokoškolské v magisterském studijním programu</v>
      </c>
      <c r="Y20" s="61">
        <v>0</v>
      </c>
      <c r="Z20" s="91" t="str">
        <f t="shared" ref="Z20:Z35" si="10">$T$6</f>
        <v xml:space="preserve">vyšší odborné </v>
      </c>
      <c r="AA20" s="61">
        <v>0</v>
      </c>
      <c r="AB20" s="91" t="str">
        <f t="shared" ref="AB20:AB35" si="11">$T$2</f>
        <v>základní (základy vzdělání)</v>
      </c>
      <c r="AC20" s="61">
        <v>0</v>
      </c>
    </row>
    <row r="21" spans="2:29" ht="12.75" x14ac:dyDescent="0.2">
      <c r="B21" s="10" t="str">
        <f t="shared" si="3"/>
        <v/>
      </c>
      <c r="C21" s="235"/>
      <c r="D21" s="236"/>
      <c r="E21" s="236"/>
      <c r="F21" s="237"/>
      <c r="G21" s="235"/>
      <c r="H21" s="236"/>
      <c r="I21" s="237"/>
      <c r="J21" s="2"/>
      <c r="K21" s="7"/>
      <c r="L21" s="8"/>
      <c r="M21" s="17" t="str">
        <f t="shared" si="4"/>
        <v/>
      </c>
      <c r="N21" s="26"/>
      <c r="O21" s="80">
        <v>2</v>
      </c>
      <c r="P21" s="82" t="str">
        <f t="shared" si="5"/>
        <v xml:space="preserve">střední </v>
      </c>
      <c r="Q21" s="58">
        <v>0</v>
      </c>
      <c r="R21" s="82" t="str">
        <f t="shared" si="6"/>
        <v>střední s maturitní zkouškou</v>
      </c>
      <c r="S21" s="58">
        <v>0</v>
      </c>
      <c r="T21" s="82" t="str">
        <f t="shared" si="7"/>
        <v>střední s výučním listem</v>
      </c>
      <c r="U21" s="58">
        <v>0</v>
      </c>
      <c r="V21" s="91" t="str">
        <f t="shared" si="8"/>
        <v>vysokoškolské v bakalářském studijním programu</v>
      </c>
      <c r="W21" s="58">
        <v>0</v>
      </c>
      <c r="X21" s="82" t="str">
        <f t="shared" si="9"/>
        <v>vysokoškolské v magisterském studijním programu</v>
      </c>
      <c r="Y21" s="58">
        <v>0</v>
      </c>
      <c r="Z21" s="91" t="str">
        <f t="shared" si="10"/>
        <v xml:space="preserve">vyšší odborné </v>
      </c>
      <c r="AA21" s="58">
        <v>0</v>
      </c>
      <c r="AB21" s="91" t="str">
        <f t="shared" si="11"/>
        <v>základní (základy vzdělání)</v>
      </c>
      <c r="AC21" s="58">
        <v>0</v>
      </c>
    </row>
    <row r="22" spans="2:29" ht="12.75" x14ac:dyDescent="0.2">
      <c r="B22" s="10" t="str">
        <f t="shared" si="3"/>
        <v/>
      </c>
      <c r="C22" s="235"/>
      <c r="D22" s="236"/>
      <c r="E22" s="236"/>
      <c r="F22" s="237"/>
      <c r="G22" s="235"/>
      <c r="H22" s="236"/>
      <c r="I22" s="237"/>
      <c r="J22" s="2"/>
      <c r="K22" s="7"/>
      <c r="L22" s="8"/>
      <c r="M22" s="17" t="str">
        <f t="shared" si="4"/>
        <v/>
      </c>
      <c r="N22" s="26"/>
      <c r="O22" s="80">
        <v>3</v>
      </c>
      <c r="P22" s="82" t="str">
        <f t="shared" si="5"/>
        <v xml:space="preserve">střední </v>
      </c>
      <c r="Q22" s="58">
        <v>0</v>
      </c>
      <c r="R22" s="82" t="str">
        <f t="shared" si="6"/>
        <v>střední s maturitní zkouškou</v>
      </c>
      <c r="S22" s="58">
        <v>0</v>
      </c>
      <c r="T22" s="82" t="str">
        <f t="shared" si="7"/>
        <v>střední s výučním listem</v>
      </c>
      <c r="U22" s="58">
        <v>0</v>
      </c>
      <c r="V22" s="91" t="str">
        <f t="shared" si="8"/>
        <v>vysokoškolské v bakalářském studijním programu</v>
      </c>
      <c r="W22" s="58">
        <v>0</v>
      </c>
      <c r="X22" s="82" t="str">
        <f t="shared" si="9"/>
        <v>vysokoškolské v magisterském studijním programu</v>
      </c>
      <c r="Y22" s="58">
        <v>0</v>
      </c>
      <c r="Z22" s="91" t="str">
        <f t="shared" si="10"/>
        <v xml:space="preserve">vyšší odborné </v>
      </c>
      <c r="AA22" s="58">
        <v>0</v>
      </c>
      <c r="AB22" s="91" t="str">
        <f t="shared" si="11"/>
        <v>základní (základy vzdělání)</v>
      </c>
      <c r="AC22" s="58">
        <v>0</v>
      </c>
    </row>
    <row r="23" spans="2:29" ht="12.75" x14ac:dyDescent="0.2">
      <c r="B23" s="10" t="str">
        <f t="shared" si="3"/>
        <v/>
      </c>
      <c r="C23" s="235"/>
      <c r="D23" s="236"/>
      <c r="E23" s="236"/>
      <c r="F23" s="237"/>
      <c r="G23" s="235"/>
      <c r="H23" s="236"/>
      <c r="I23" s="237"/>
      <c r="J23" s="2"/>
      <c r="K23" s="7"/>
      <c r="L23" s="8"/>
      <c r="M23" s="17" t="str">
        <f t="shared" si="4"/>
        <v/>
      </c>
      <c r="N23" s="26"/>
      <c r="O23" s="80">
        <v>4</v>
      </c>
      <c r="P23" s="82" t="str">
        <f t="shared" si="5"/>
        <v xml:space="preserve">střední </v>
      </c>
      <c r="Q23" s="58">
        <v>0</v>
      </c>
      <c r="R23" s="82" t="str">
        <f t="shared" si="6"/>
        <v>střední s maturitní zkouškou</v>
      </c>
      <c r="S23" s="58">
        <v>0</v>
      </c>
      <c r="T23" s="82" t="str">
        <f t="shared" si="7"/>
        <v>střední s výučním listem</v>
      </c>
      <c r="U23" s="58">
        <v>0</v>
      </c>
      <c r="V23" s="91" t="str">
        <f t="shared" si="8"/>
        <v>vysokoškolské v bakalářském studijním programu</v>
      </c>
      <c r="W23" s="58">
        <v>0</v>
      </c>
      <c r="X23" s="82" t="str">
        <f t="shared" si="9"/>
        <v>vysokoškolské v magisterském studijním programu</v>
      </c>
      <c r="Y23" s="58">
        <v>0</v>
      </c>
      <c r="Z23" s="91" t="str">
        <f t="shared" si="10"/>
        <v xml:space="preserve">vyšší odborné </v>
      </c>
      <c r="AA23" s="58">
        <v>0</v>
      </c>
      <c r="AB23" s="91" t="str">
        <f t="shared" si="11"/>
        <v>základní (základy vzdělání)</v>
      </c>
      <c r="AC23" s="58">
        <v>0</v>
      </c>
    </row>
    <row r="24" spans="2:29" ht="12.75" x14ac:dyDescent="0.2">
      <c r="B24" s="10" t="str">
        <f t="shared" si="3"/>
        <v/>
      </c>
      <c r="C24" s="235"/>
      <c r="D24" s="236"/>
      <c r="E24" s="236"/>
      <c r="F24" s="237"/>
      <c r="G24" s="235"/>
      <c r="H24" s="236"/>
      <c r="I24" s="237"/>
      <c r="J24" s="2"/>
      <c r="K24" s="7"/>
      <c r="L24" s="8"/>
      <c r="M24" s="17" t="str">
        <f t="shared" si="4"/>
        <v/>
      </c>
      <c r="N24" s="26"/>
      <c r="O24" s="80">
        <v>5</v>
      </c>
      <c r="P24" s="82" t="str">
        <f t="shared" si="5"/>
        <v xml:space="preserve">střední </v>
      </c>
      <c r="Q24" s="58">
        <v>0</v>
      </c>
      <c r="R24" s="82" t="str">
        <f t="shared" si="6"/>
        <v>střední s maturitní zkouškou</v>
      </c>
      <c r="S24" s="58">
        <v>0</v>
      </c>
      <c r="T24" s="82" t="str">
        <f t="shared" si="7"/>
        <v>střední s výučním listem</v>
      </c>
      <c r="U24" s="58">
        <v>0</v>
      </c>
      <c r="V24" s="91" t="str">
        <f t="shared" si="8"/>
        <v>vysokoškolské v bakalářském studijním programu</v>
      </c>
      <c r="W24" s="58">
        <v>0</v>
      </c>
      <c r="X24" s="82" t="str">
        <f t="shared" si="9"/>
        <v>vysokoškolské v magisterském studijním programu</v>
      </c>
      <c r="Y24" s="58">
        <v>0</v>
      </c>
      <c r="Z24" s="91" t="str">
        <f t="shared" si="10"/>
        <v xml:space="preserve">vyšší odborné </v>
      </c>
      <c r="AA24" s="58">
        <v>0</v>
      </c>
      <c r="AB24" s="91" t="str">
        <f t="shared" si="11"/>
        <v>základní (základy vzdělání)</v>
      </c>
      <c r="AC24" s="58">
        <v>0</v>
      </c>
    </row>
    <row r="25" spans="2:29" ht="12.75" x14ac:dyDescent="0.2">
      <c r="B25" s="10" t="str">
        <f t="shared" si="3"/>
        <v/>
      </c>
      <c r="C25" s="235"/>
      <c r="D25" s="236"/>
      <c r="E25" s="236"/>
      <c r="F25" s="237"/>
      <c r="G25" s="235"/>
      <c r="H25" s="236"/>
      <c r="I25" s="237"/>
      <c r="J25" s="2"/>
      <c r="K25" s="7"/>
      <c r="L25" s="8"/>
      <c r="M25" s="17" t="str">
        <f t="shared" si="4"/>
        <v/>
      </c>
      <c r="N25" s="26"/>
      <c r="O25" s="80">
        <v>6</v>
      </c>
      <c r="P25" s="82" t="str">
        <f t="shared" si="5"/>
        <v xml:space="preserve">střední </v>
      </c>
      <c r="Q25" s="58">
        <v>2</v>
      </c>
      <c r="R25" s="82" t="str">
        <f t="shared" si="6"/>
        <v>střední s maturitní zkouškou</v>
      </c>
      <c r="S25" s="58">
        <v>0</v>
      </c>
      <c r="T25" s="82" t="str">
        <f t="shared" si="7"/>
        <v>střední s výučním listem</v>
      </c>
      <c r="U25" s="58">
        <v>1</v>
      </c>
      <c r="V25" s="91" t="str">
        <f t="shared" si="8"/>
        <v>vysokoškolské v bakalářském studijním programu</v>
      </c>
      <c r="W25" s="58">
        <v>0</v>
      </c>
      <c r="X25" s="82" t="str">
        <f t="shared" si="9"/>
        <v>vysokoškolské v magisterském studijním programu</v>
      </c>
      <c r="Y25" s="58">
        <v>0</v>
      </c>
      <c r="Z25" s="91" t="str">
        <f t="shared" si="10"/>
        <v xml:space="preserve">vyšší odborné </v>
      </c>
      <c r="AA25" s="58">
        <v>0</v>
      </c>
      <c r="AB25" s="91" t="str">
        <f t="shared" si="11"/>
        <v>základní (základy vzdělání)</v>
      </c>
      <c r="AC25" s="58">
        <v>4</v>
      </c>
    </row>
    <row r="26" spans="2:29" ht="12.75" x14ac:dyDescent="0.2">
      <c r="B26" s="10" t="str">
        <f t="shared" si="3"/>
        <v/>
      </c>
      <c r="C26" s="235"/>
      <c r="D26" s="236"/>
      <c r="E26" s="236"/>
      <c r="F26" s="237"/>
      <c r="G26" s="235"/>
      <c r="H26" s="236"/>
      <c r="I26" s="237"/>
      <c r="J26" s="2"/>
      <c r="K26" s="7"/>
      <c r="L26" s="3"/>
      <c r="M26" s="17" t="str">
        <f t="shared" si="4"/>
        <v/>
      </c>
      <c r="N26" s="26"/>
      <c r="O26" s="80">
        <v>7</v>
      </c>
      <c r="P26" s="82" t="str">
        <f t="shared" si="5"/>
        <v xml:space="preserve">střední </v>
      </c>
      <c r="Q26" s="58">
        <v>2</v>
      </c>
      <c r="R26" s="82" t="str">
        <f t="shared" si="6"/>
        <v>střední s maturitní zkouškou</v>
      </c>
      <c r="S26" s="58">
        <v>0</v>
      </c>
      <c r="T26" s="82" t="str">
        <f t="shared" si="7"/>
        <v>střední s výučním listem</v>
      </c>
      <c r="U26" s="58">
        <v>1</v>
      </c>
      <c r="V26" s="91" t="str">
        <f t="shared" si="8"/>
        <v>vysokoškolské v bakalářském studijním programu</v>
      </c>
      <c r="W26" s="58">
        <v>0</v>
      </c>
      <c r="X26" s="82" t="str">
        <f t="shared" si="9"/>
        <v>vysokoškolské v magisterském studijním programu</v>
      </c>
      <c r="Y26" s="58">
        <v>0</v>
      </c>
      <c r="Z26" s="91" t="str">
        <f t="shared" si="10"/>
        <v xml:space="preserve">vyšší odborné </v>
      </c>
      <c r="AA26" s="58">
        <v>0</v>
      </c>
      <c r="AB26" s="91" t="str">
        <f t="shared" si="11"/>
        <v>základní (základy vzdělání)</v>
      </c>
      <c r="AC26" s="58">
        <v>4</v>
      </c>
    </row>
    <row r="27" spans="2:29" ht="12.75" x14ac:dyDescent="0.2">
      <c r="B27" s="10" t="str">
        <f t="shared" si="3"/>
        <v/>
      </c>
      <c r="C27" s="235"/>
      <c r="D27" s="236"/>
      <c r="E27" s="236"/>
      <c r="F27" s="237"/>
      <c r="G27" s="235"/>
      <c r="H27" s="236"/>
      <c r="I27" s="237"/>
      <c r="J27" s="2"/>
      <c r="K27" s="7"/>
      <c r="L27" s="3"/>
      <c r="M27" s="17" t="str">
        <f t="shared" si="4"/>
        <v/>
      </c>
      <c r="N27" s="26"/>
      <c r="O27" s="80">
        <v>8</v>
      </c>
      <c r="P27" s="82" t="str">
        <f t="shared" si="5"/>
        <v xml:space="preserve">střední </v>
      </c>
      <c r="Q27" s="58">
        <v>2</v>
      </c>
      <c r="R27" s="82" t="str">
        <f t="shared" si="6"/>
        <v>střední s maturitní zkouškou</v>
      </c>
      <c r="S27" s="58">
        <v>0</v>
      </c>
      <c r="T27" s="82" t="str">
        <f t="shared" si="7"/>
        <v>střední s výučním listem</v>
      </c>
      <c r="U27" s="58">
        <v>1</v>
      </c>
      <c r="V27" s="91" t="str">
        <f t="shared" si="8"/>
        <v>vysokoškolské v bakalářském studijním programu</v>
      </c>
      <c r="W27" s="58">
        <v>0</v>
      </c>
      <c r="X27" s="82" t="str">
        <f t="shared" si="9"/>
        <v>vysokoškolské v magisterském studijním programu</v>
      </c>
      <c r="Y27" s="58">
        <v>0</v>
      </c>
      <c r="Z27" s="91" t="str">
        <f t="shared" si="10"/>
        <v xml:space="preserve">vyšší odborné </v>
      </c>
      <c r="AA27" s="58">
        <v>0</v>
      </c>
      <c r="AB27" s="91" t="str">
        <f t="shared" si="11"/>
        <v>základní (základy vzdělání)</v>
      </c>
      <c r="AC27" s="58">
        <v>4</v>
      </c>
    </row>
    <row r="28" spans="2:29" ht="12.75" x14ac:dyDescent="0.2">
      <c r="B28" s="10" t="str">
        <f t="shared" si="3"/>
        <v/>
      </c>
      <c r="C28" s="235"/>
      <c r="D28" s="236"/>
      <c r="E28" s="236"/>
      <c r="F28" s="237"/>
      <c r="G28" s="235"/>
      <c r="H28" s="236"/>
      <c r="I28" s="237"/>
      <c r="J28" s="2"/>
      <c r="K28" s="7"/>
      <c r="L28" s="3"/>
      <c r="M28" s="17" t="str">
        <f t="shared" si="4"/>
        <v/>
      </c>
      <c r="N28" s="26"/>
      <c r="O28" s="80">
        <v>9</v>
      </c>
      <c r="P28" s="82" t="str">
        <f t="shared" si="5"/>
        <v xml:space="preserve">střední </v>
      </c>
      <c r="Q28" s="58">
        <v>4</v>
      </c>
      <c r="R28" s="82" t="str">
        <f t="shared" si="6"/>
        <v>střední s maturitní zkouškou</v>
      </c>
      <c r="S28" s="58">
        <v>2</v>
      </c>
      <c r="T28" s="82" t="str">
        <f t="shared" si="7"/>
        <v>střední s výučním listem</v>
      </c>
      <c r="U28" s="58">
        <v>3</v>
      </c>
      <c r="V28" s="91" t="str">
        <f t="shared" si="8"/>
        <v>vysokoškolské v bakalářském studijním programu</v>
      </c>
      <c r="W28" s="58">
        <v>0</v>
      </c>
      <c r="X28" s="82" t="str">
        <f t="shared" si="9"/>
        <v>vysokoškolské v magisterském studijním programu</v>
      </c>
      <c r="Y28" s="58">
        <v>0</v>
      </c>
      <c r="Z28" s="91" t="str">
        <f t="shared" si="10"/>
        <v xml:space="preserve">vyšší odborné </v>
      </c>
      <c r="AA28" s="58">
        <v>0</v>
      </c>
      <c r="AB28" s="91" t="str">
        <f t="shared" si="11"/>
        <v>základní (základy vzdělání)</v>
      </c>
      <c r="AC28" s="58">
        <v>6</v>
      </c>
    </row>
    <row r="29" spans="2:29" ht="12.75" x14ac:dyDescent="0.2">
      <c r="B29" s="10" t="str">
        <f t="shared" si="3"/>
        <v/>
      </c>
      <c r="C29" s="235"/>
      <c r="D29" s="236"/>
      <c r="E29" s="236"/>
      <c r="F29" s="237"/>
      <c r="G29" s="235"/>
      <c r="H29" s="236"/>
      <c r="I29" s="237"/>
      <c r="J29" s="2"/>
      <c r="K29" s="7"/>
      <c r="L29" s="3"/>
      <c r="M29" s="17" t="str">
        <f t="shared" si="4"/>
        <v/>
      </c>
      <c r="N29" s="26"/>
      <c r="O29" s="80">
        <v>10</v>
      </c>
      <c r="P29" s="82" t="str">
        <f t="shared" si="5"/>
        <v xml:space="preserve">střední </v>
      </c>
      <c r="Q29" s="58">
        <v>5</v>
      </c>
      <c r="R29" s="82" t="str">
        <f t="shared" si="6"/>
        <v>střední s maturitní zkouškou</v>
      </c>
      <c r="S29" s="58">
        <v>3</v>
      </c>
      <c r="T29" s="82" t="str">
        <f t="shared" si="7"/>
        <v>střední s výučním listem</v>
      </c>
      <c r="U29" s="58">
        <v>4</v>
      </c>
      <c r="V29" s="91" t="str">
        <f t="shared" si="8"/>
        <v>vysokoškolské v bakalářském studijním programu</v>
      </c>
      <c r="W29" s="58">
        <v>0</v>
      </c>
      <c r="X29" s="82" t="str">
        <f t="shared" si="9"/>
        <v>vysokoškolské v magisterském studijním programu</v>
      </c>
      <c r="Y29" s="58">
        <v>0</v>
      </c>
      <c r="Z29" s="91" t="str">
        <f t="shared" si="10"/>
        <v xml:space="preserve">vyšší odborné </v>
      </c>
      <c r="AA29" s="58">
        <v>0</v>
      </c>
      <c r="AB29" s="91" t="str">
        <f t="shared" si="11"/>
        <v>základní (základy vzdělání)</v>
      </c>
      <c r="AC29" s="58">
        <v>7</v>
      </c>
    </row>
    <row r="30" spans="2:29" ht="12.75" x14ac:dyDescent="0.2">
      <c r="B30" s="10" t="str">
        <f t="shared" si="3"/>
        <v/>
      </c>
      <c r="C30" s="235"/>
      <c r="D30" s="236"/>
      <c r="E30" s="236"/>
      <c r="F30" s="237"/>
      <c r="G30" s="235"/>
      <c r="H30" s="236"/>
      <c r="I30" s="237"/>
      <c r="J30" s="2"/>
      <c r="K30" s="7"/>
      <c r="L30" s="3"/>
      <c r="M30" s="17" t="str">
        <f t="shared" si="4"/>
        <v/>
      </c>
      <c r="N30" s="26"/>
      <c r="O30" s="80">
        <v>11</v>
      </c>
      <c r="P30" s="82" t="str">
        <f t="shared" si="5"/>
        <v xml:space="preserve">střední </v>
      </c>
      <c r="Q30" s="58">
        <v>7</v>
      </c>
      <c r="R30" s="82" t="str">
        <f t="shared" si="6"/>
        <v>střední s maturitní zkouškou</v>
      </c>
      <c r="S30" s="58">
        <v>5</v>
      </c>
      <c r="T30" s="82" t="str">
        <f t="shared" si="7"/>
        <v>střední s výučním listem</v>
      </c>
      <c r="U30" s="58">
        <v>6</v>
      </c>
      <c r="V30" s="91" t="str">
        <f t="shared" si="8"/>
        <v>vysokoškolské v bakalářském studijním programu</v>
      </c>
      <c r="W30" s="58">
        <v>2</v>
      </c>
      <c r="X30" s="82" t="str">
        <f t="shared" si="9"/>
        <v>vysokoškolské v magisterském studijním programu</v>
      </c>
      <c r="Y30" s="58">
        <v>0</v>
      </c>
      <c r="Z30" s="91" t="str">
        <f t="shared" si="10"/>
        <v xml:space="preserve">vyšší odborné </v>
      </c>
      <c r="AA30" s="58">
        <v>2</v>
      </c>
      <c r="AB30" s="91" t="str">
        <f t="shared" si="11"/>
        <v>základní (základy vzdělání)</v>
      </c>
      <c r="AC30" s="58">
        <v>9</v>
      </c>
    </row>
    <row r="31" spans="2:29" ht="12.75" x14ac:dyDescent="0.2">
      <c r="B31" s="10" t="str">
        <f t="shared" si="3"/>
        <v/>
      </c>
      <c r="C31" s="235"/>
      <c r="D31" s="236"/>
      <c r="E31" s="236"/>
      <c r="F31" s="237"/>
      <c r="G31" s="235"/>
      <c r="H31" s="236"/>
      <c r="I31" s="237"/>
      <c r="J31" s="2"/>
      <c r="K31" s="7"/>
      <c r="L31" s="3"/>
      <c r="M31" s="17" t="str">
        <f t="shared" si="4"/>
        <v/>
      </c>
      <c r="N31" s="26"/>
      <c r="O31" s="80">
        <v>12</v>
      </c>
      <c r="P31" s="82" t="str">
        <f t="shared" si="5"/>
        <v xml:space="preserve">střední </v>
      </c>
      <c r="Q31" s="58">
        <v>7</v>
      </c>
      <c r="R31" s="82" t="str">
        <f t="shared" si="6"/>
        <v>střední s maturitní zkouškou</v>
      </c>
      <c r="S31" s="58">
        <v>5</v>
      </c>
      <c r="T31" s="82" t="str">
        <f t="shared" si="7"/>
        <v>střední s výučním listem</v>
      </c>
      <c r="U31" s="58">
        <v>6</v>
      </c>
      <c r="V31" s="91" t="str">
        <f t="shared" si="8"/>
        <v>vysokoškolské v bakalářském studijním programu</v>
      </c>
      <c r="W31" s="58">
        <v>2</v>
      </c>
      <c r="X31" s="82" t="str">
        <f t="shared" si="9"/>
        <v>vysokoškolské v magisterském studijním programu</v>
      </c>
      <c r="Y31" s="58">
        <v>0</v>
      </c>
      <c r="Z31" s="91" t="str">
        <f t="shared" si="10"/>
        <v xml:space="preserve">vyšší odborné </v>
      </c>
      <c r="AA31" s="58">
        <v>2</v>
      </c>
      <c r="AB31" s="91" t="str">
        <f t="shared" si="11"/>
        <v>základní (základy vzdělání)</v>
      </c>
      <c r="AC31" s="58">
        <v>9</v>
      </c>
    </row>
    <row r="32" spans="2:29" ht="12.75" x14ac:dyDescent="0.2">
      <c r="B32" s="10" t="str">
        <f t="shared" si="3"/>
        <v/>
      </c>
      <c r="C32" s="235"/>
      <c r="D32" s="236"/>
      <c r="E32" s="236"/>
      <c r="F32" s="237"/>
      <c r="G32" s="235"/>
      <c r="H32" s="236"/>
      <c r="I32" s="237"/>
      <c r="J32" s="2"/>
      <c r="K32" s="7"/>
      <c r="L32" s="3"/>
      <c r="M32" s="17" t="str">
        <f t="shared" si="4"/>
        <v/>
      </c>
      <c r="N32" s="26"/>
      <c r="O32" s="80">
        <v>13</v>
      </c>
      <c r="P32" s="82" t="str">
        <f t="shared" si="5"/>
        <v xml:space="preserve">střední </v>
      </c>
      <c r="Q32" s="58">
        <v>7</v>
      </c>
      <c r="R32" s="82" t="str">
        <f t="shared" si="6"/>
        <v>střední s maturitní zkouškou</v>
      </c>
      <c r="S32" s="58">
        <v>5</v>
      </c>
      <c r="T32" s="82" t="str">
        <f t="shared" si="7"/>
        <v>střední s výučním listem</v>
      </c>
      <c r="U32" s="58">
        <v>6</v>
      </c>
      <c r="V32" s="91" t="str">
        <f t="shared" si="8"/>
        <v>vysokoškolské v bakalářském studijním programu</v>
      </c>
      <c r="W32" s="58">
        <v>2</v>
      </c>
      <c r="X32" s="82" t="str">
        <f t="shared" si="9"/>
        <v>vysokoškolské v magisterském studijním programu</v>
      </c>
      <c r="Y32" s="58">
        <v>0</v>
      </c>
      <c r="Z32" s="91" t="str">
        <f t="shared" si="10"/>
        <v xml:space="preserve">vyšší odborné </v>
      </c>
      <c r="AA32" s="58">
        <v>2</v>
      </c>
      <c r="AB32" s="91" t="str">
        <f t="shared" si="11"/>
        <v>základní (základy vzdělání)</v>
      </c>
      <c r="AC32" s="58">
        <v>9</v>
      </c>
    </row>
    <row r="33" spans="2:29" ht="13.5" thickBot="1" x14ac:dyDescent="0.25">
      <c r="B33" s="11" t="str">
        <f t="shared" si="3"/>
        <v/>
      </c>
      <c r="C33" s="254"/>
      <c r="D33" s="255"/>
      <c r="E33" s="255"/>
      <c r="F33" s="256"/>
      <c r="G33" s="254"/>
      <c r="H33" s="255"/>
      <c r="I33" s="256"/>
      <c r="J33" s="2"/>
      <c r="K33" s="7"/>
      <c r="L33" s="12"/>
      <c r="M33" s="31" t="str">
        <f t="shared" si="4"/>
        <v/>
      </c>
      <c r="N33" s="26"/>
      <c r="O33" s="80">
        <v>14</v>
      </c>
      <c r="P33" s="82" t="str">
        <f t="shared" si="5"/>
        <v xml:space="preserve">střední </v>
      </c>
      <c r="Q33" s="58">
        <v>7</v>
      </c>
      <c r="R33" s="82" t="str">
        <f t="shared" si="6"/>
        <v>střední s maturitní zkouškou</v>
      </c>
      <c r="S33" s="58">
        <v>5</v>
      </c>
      <c r="T33" s="82" t="str">
        <f t="shared" si="7"/>
        <v>střední s výučním listem</v>
      </c>
      <c r="U33" s="58">
        <v>6</v>
      </c>
      <c r="V33" s="91" t="str">
        <f t="shared" si="8"/>
        <v>vysokoškolské v bakalářském studijním programu</v>
      </c>
      <c r="W33" s="58">
        <v>2</v>
      </c>
      <c r="X33" s="82" t="str">
        <f t="shared" si="9"/>
        <v>vysokoškolské v magisterském studijním programu</v>
      </c>
      <c r="Y33" s="58">
        <v>0</v>
      </c>
      <c r="Z33" s="91" t="str">
        <f t="shared" si="10"/>
        <v xml:space="preserve">vyšší odborné </v>
      </c>
      <c r="AA33" s="58">
        <v>2</v>
      </c>
      <c r="AB33" s="91" t="str">
        <f t="shared" si="11"/>
        <v>základní (základy vzdělání)</v>
      </c>
      <c r="AC33" s="58">
        <v>9</v>
      </c>
    </row>
    <row r="34" spans="2:29" ht="12.75" x14ac:dyDescent="0.2">
      <c r="B34" s="257" t="s">
        <v>58</v>
      </c>
      <c r="C34" s="258"/>
      <c r="D34" s="258"/>
      <c r="E34" s="258"/>
      <c r="F34" s="258"/>
      <c r="G34" s="259"/>
      <c r="H34" s="220"/>
      <c r="I34" s="34">
        <f>SUM(M14:M33)</f>
        <v>0</v>
      </c>
      <c r="J34" s="238" t="s">
        <v>64</v>
      </c>
      <c r="K34" s="239"/>
      <c r="L34" s="239"/>
      <c r="M34" s="240"/>
      <c r="N34" s="26"/>
      <c r="O34" s="80">
        <v>15</v>
      </c>
      <c r="P34" s="82" t="str">
        <f t="shared" si="5"/>
        <v xml:space="preserve">střední </v>
      </c>
      <c r="Q34" s="58">
        <v>7</v>
      </c>
      <c r="R34" s="82" t="str">
        <f t="shared" si="6"/>
        <v>střední s maturitní zkouškou</v>
      </c>
      <c r="S34" s="58">
        <v>5</v>
      </c>
      <c r="T34" s="82" t="str">
        <f t="shared" si="7"/>
        <v>střední s výučním listem</v>
      </c>
      <c r="U34" s="58">
        <v>6</v>
      </c>
      <c r="V34" s="91" t="str">
        <f t="shared" si="8"/>
        <v>vysokoškolské v bakalářském studijním programu</v>
      </c>
      <c r="W34" s="58">
        <v>2</v>
      </c>
      <c r="X34" s="82" t="str">
        <f t="shared" si="9"/>
        <v>vysokoškolské v magisterském studijním programu</v>
      </c>
      <c r="Y34" s="58">
        <v>0</v>
      </c>
      <c r="Z34" s="91" t="str">
        <f t="shared" si="10"/>
        <v xml:space="preserve">vyšší odborné </v>
      </c>
      <c r="AA34" s="58">
        <v>2</v>
      </c>
      <c r="AB34" s="91" t="str">
        <f t="shared" si="11"/>
        <v>základní (základy vzdělání)</v>
      </c>
      <c r="AC34" s="58">
        <v>9</v>
      </c>
    </row>
    <row r="35" spans="2:29" ht="13.5" thickBot="1" x14ac:dyDescent="0.25">
      <c r="B35" s="244" t="s">
        <v>59</v>
      </c>
      <c r="C35" s="245"/>
      <c r="D35" s="245"/>
      <c r="E35" s="245"/>
      <c r="F35" s="245"/>
      <c r="G35" s="246"/>
      <c r="H35" s="218"/>
      <c r="I35" s="35">
        <f>IF(ISERROR(VLOOKUP(G6,T11:U17,2)),0,VLOOKUP(G6,T11:U17,2))</f>
        <v>0</v>
      </c>
      <c r="J35" s="241"/>
      <c r="K35" s="242"/>
      <c r="L35" s="242"/>
      <c r="M35" s="243"/>
      <c r="N35" s="26"/>
      <c r="O35" s="81">
        <v>16</v>
      </c>
      <c r="P35" s="83" t="str">
        <f t="shared" si="5"/>
        <v xml:space="preserve">střední </v>
      </c>
      <c r="Q35" s="60">
        <v>7</v>
      </c>
      <c r="R35" s="83" t="str">
        <f t="shared" si="6"/>
        <v>střední s maturitní zkouškou</v>
      </c>
      <c r="S35" s="60">
        <v>5</v>
      </c>
      <c r="T35" s="83" t="str">
        <f t="shared" si="7"/>
        <v>střední s výučním listem</v>
      </c>
      <c r="U35" s="60">
        <v>6</v>
      </c>
      <c r="V35" s="92" t="str">
        <f t="shared" si="8"/>
        <v>vysokoškolské v bakalářském studijním programu</v>
      </c>
      <c r="W35" s="60">
        <v>2</v>
      </c>
      <c r="X35" s="83" t="str">
        <f t="shared" si="9"/>
        <v>vysokoškolské v magisterském studijním programu</v>
      </c>
      <c r="Y35" s="60">
        <v>0</v>
      </c>
      <c r="Z35" s="92" t="str">
        <f t="shared" si="10"/>
        <v xml:space="preserve">vyšší odborné </v>
      </c>
      <c r="AA35" s="60">
        <v>2</v>
      </c>
      <c r="AB35" s="92" t="str">
        <f t="shared" si="11"/>
        <v>základní (základy vzdělání)</v>
      </c>
      <c r="AC35" s="60">
        <v>9</v>
      </c>
    </row>
    <row r="36" spans="2:29" ht="13.5" thickTop="1" x14ac:dyDescent="0.2">
      <c r="B36" s="247" t="s">
        <v>56</v>
      </c>
      <c r="C36" s="248"/>
      <c r="D36" s="248"/>
      <c r="E36" s="248"/>
      <c r="F36" s="248"/>
      <c r="G36" s="121" t="s">
        <v>54</v>
      </c>
      <c r="H36" s="223"/>
      <c r="I36" s="36">
        <f>I34-I35</f>
        <v>0</v>
      </c>
      <c r="J36" s="241"/>
      <c r="K36" s="242"/>
      <c r="L36" s="242"/>
      <c r="M36" s="243"/>
      <c r="N36" s="26"/>
    </row>
    <row r="37" spans="2:29" ht="12.75" x14ac:dyDescent="0.2">
      <c r="B37" s="249"/>
      <c r="C37" s="250"/>
      <c r="D37" s="250"/>
      <c r="E37" s="250"/>
      <c r="F37" s="250"/>
      <c r="G37" s="121" t="s">
        <v>55</v>
      </c>
      <c r="H37" s="223"/>
      <c r="I37" s="36" t="str">
        <f>INT(I36)&amp;" r. "&amp;ROUND((I36-INT(I36))*365,0)&amp;" dní"</f>
        <v>0 r. 0 dní</v>
      </c>
      <c r="J37" s="241"/>
      <c r="K37" s="242"/>
      <c r="L37" s="242"/>
      <c r="M37" s="243"/>
      <c r="N37" s="26"/>
    </row>
    <row r="38" spans="2:29" ht="12.75" x14ac:dyDescent="0.2">
      <c r="B38" s="251" t="s">
        <v>7</v>
      </c>
      <c r="C38" s="252"/>
      <c r="D38" s="252"/>
      <c r="E38" s="252"/>
      <c r="F38" s="252"/>
      <c r="G38" s="253"/>
      <c r="H38" s="219"/>
      <c r="I38" s="37">
        <f>IF(I34-I36&gt;=0,Z17,"Chyba!")</f>
        <v>1</v>
      </c>
      <c r="J38" s="241"/>
      <c r="K38" s="242"/>
      <c r="L38" s="242"/>
      <c r="M38" s="243"/>
      <c r="N38" s="26"/>
    </row>
    <row r="39" spans="2:29" ht="12.75" x14ac:dyDescent="0.2">
      <c r="B39" s="244" t="str">
        <f>IF(I38&lt;12,"Podmínky pro platový postup splněny","")</f>
        <v>Podmínky pro platový postup splněny</v>
      </c>
      <c r="C39" s="245"/>
      <c r="D39" s="245"/>
      <c r="E39" s="245"/>
      <c r="F39" s="245"/>
      <c r="G39" s="246"/>
      <c r="H39" s="218"/>
      <c r="I39" s="38" t="str">
        <f>IF(AND(G7&gt;0,I38&lt;7),ROUND(G7-1+(AA17-I36)*365.25,0),"")</f>
        <v/>
      </c>
      <c r="J39" s="241"/>
      <c r="K39" s="242"/>
      <c r="L39" s="242"/>
      <c r="M39" s="243"/>
      <c r="N39" s="27"/>
    </row>
    <row r="40" spans="2:29" ht="13.5" thickBot="1" x14ac:dyDescent="0.25">
      <c r="B40" s="226" t="str">
        <f>IF(AND(I40&gt;0,I38&lt;12), "Postup do dalšího platového stupně dne","")</f>
        <v>Postup do dalšího platového stupně dne</v>
      </c>
      <c r="C40" s="227"/>
      <c r="D40" s="227"/>
      <c r="E40" s="227"/>
      <c r="F40" s="227"/>
      <c r="G40" s="228"/>
      <c r="H40" s="216"/>
      <c r="I40" s="39" t="str">
        <f>IF(AND(G7&gt;0,I39&gt;0,I38&lt;7),I39-DAY(I39)+1,"")</f>
        <v/>
      </c>
      <c r="J40" s="229"/>
      <c r="K40" s="230"/>
      <c r="L40" s="230"/>
      <c r="M40" s="231"/>
      <c r="N40" s="28"/>
    </row>
    <row r="41" spans="2:29" ht="12.75" x14ac:dyDescent="0.2"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8"/>
    </row>
    <row r="42" spans="2:29" ht="12.75" x14ac:dyDescent="0.2">
      <c r="B42" s="233" t="s">
        <v>4</v>
      </c>
      <c r="C42" s="233"/>
      <c r="D42" s="217"/>
      <c r="E42" s="217"/>
      <c r="F42" s="122" t="str">
        <f ca="1">IF(G7="","",IF(TODAY()&lt;=G7,TODAY(),G7))</f>
        <v/>
      </c>
      <c r="G42" s="224"/>
      <c r="H42" s="224"/>
      <c r="I42" s="224"/>
      <c r="J42" s="224"/>
      <c r="K42" s="224"/>
      <c r="L42" s="224"/>
      <c r="M42" s="224"/>
      <c r="N42" s="28"/>
    </row>
    <row r="43" spans="2:29" ht="12.75" customHeight="1" x14ac:dyDescent="0.2">
      <c r="B43" s="224"/>
      <c r="C43" s="224"/>
      <c r="D43" s="224"/>
      <c r="E43" s="224"/>
      <c r="F43" s="224"/>
      <c r="G43" s="224"/>
      <c r="H43" s="224"/>
      <c r="I43" s="224"/>
      <c r="J43" s="234"/>
      <c r="K43" s="234"/>
      <c r="L43" s="234"/>
      <c r="M43" s="234"/>
      <c r="N43" s="28"/>
    </row>
    <row r="44" spans="2:29" ht="12.75" customHeight="1" x14ac:dyDescent="0.2">
      <c r="B44" s="224"/>
      <c r="C44" s="224"/>
      <c r="D44" s="224"/>
      <c r="E44" s="224"/>
      <c r="F44" s="224"/>
      <c r="G44" s="224"/>
      <c r="H44" s="224"/>
      <c r="I44" s="224"/>
      <c r="J44" s="224" t="s">
        <v>5</v>
      </c>
      <c r="K44" s="224"/>
      <c r="L44" s="224"/>
      <c r="M44" s="224"/>
      <c r="N44" s="28"/>
    </row>
    <row r="45" spans="2:29" ht="145.5" customHeight="1" x14ac:dyDescent="0.2">
      <c r="B45" s="225"/>
      <c r="C45" s="225"/>
      <c r="D45" s="225"/>
      <c r="E45" s="225"/>
      <c r="F45" s="225"/>
      <c r="G45" s="5"/>
      <c r="H45" s="5"/>
      <c r="I45" s="5"/>
      <c r="J45" s="5"/>
      <c r="K45" s="5"/>
      <c r="L45" s="5"/>
      <c r="M45" s="5"/>
      <c r="N45" s="29"/>
    </row>
    <row r="46" spans="2:29" ht="12" customHeight="1" x14ac:dyDescent="0.2">
      <c r="B46" s="225" t="s">
        <v>62</v>
      </c>
      <c r="C46" s="225"/>
      <c r="D46" s="225"/>
      <c r="E46" s="225"/>
      <c r="F46" s="225"/>
      <c r="N46" s="19"/>
    </row>
  </sheetData>
  <sheetProtection algorithmName="SHA-512" hashValue="wCgbF+D3rwWQqwwx9j9BdvY13JKksVe7jRkHMrnJ6BWGGHzTuDhSi0lQNdwNxW4WdxSC3hcghvFjiUCfdJg7mw==" saltValue="bJPvZT1gGxw98LBP0w3eYQ==" spinCount="100000" sheet="1" objects="1" scenarios="1" selectLockedCells="1"/>
  <mergeCells count="81">
    <mergeCell ref="B1:M1"/>
    <mergeCell ref="B2:M2"/>
    <mergeCell ref="B3:M3"/>
    <mergeCell ref="B4:M4"/>
    <mergeCell ref="B5:F5"/>
    <mergeCell ref="G5:K5"/>
    <mergeCell ref="L5:M5"/>
    <mergeCell ref="B6:F6"/>
    <mergeCell ref="G6:L6"/>
    <mergeCell ref="B7:F7"/>
    <mergeCell ref="I7:M7"/>
    <mergeCell ref="B8:F8"/>
    <mergeCell ref="G8:L8"/>
    <mergeCell ref="I9:M9"/>
    <mergeCell ref="B10:F10"/>
    <mergeCell ref="G10:L10"/>
    <mergeCell ref="B11:M11"/>
    <mergeCell ref="G15:I15"/>
    <mergeCell ref="M12:M13"/>
    <mergeCell ref="C14:F14"/>
    <mergeCell ref="G14:I14"/>
    <mergeCell ref="C15:F15"/>
    <mergeCell ref="B12:B13"/>
    <mergeCell ref="C12:F13"/>
    <mergeCell ref="G12:I13"/>
    <mergeCell ref="J12:K12"/>
    <mergeCell ref="L12:L13"/>
    <mergeCell ref="B9:F9"/>
    <mergeCell ref="C17:F17"/>
    <mergeCell ref="G17:I17"/>
    <mergeCell ref="C18:F18"/>
    <mergeCell ref="G18:I18"/>
    <mergeCell ref="C16:F16"/>
    <mergeCell ref="G16:I16"/>
    <mergeCell ref="C19:F19"/>
    <mergeCell ref="G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C31:F31"/>
    <mergeCell ref="G31:I31"/>
    <mergeCell ref="J34:M39"/>
    <mergeCell ref="B35:G35"/>
    <mergeCell ref="B36:F37"/>
    <mergeCell ref="B38:G38"/>
    <mergeCell ref="B39:G39"/>
    <mergeCell ref="C32:F32"/>
    <mergeCell ref="G32:I32"/>
    <mergeCell ref="C33:F33"/>
    <mergeCell ref="G33:I33"/>
    <mergeCell ref="B34:G34"/>
    <mergeCell ref="B44:I44"/>
    <mergeCell ref="J44:M44"/>
    <mergeCell ref="B45:F45"/>
    <mergeCell ref="B46:F46"/>
    <mergeCell ref="B40:G40"/>
    <mergeCell ref="J40:M40"/>
    <mergeCell ref="B41:M41"/>
    <mergeCell ref="B42:C42"/>
    <mergeCell ref="G42:M42"/>
    <mergeCell ref="B43:I43"/>
    <mergeCell ref="J43:M43"/>
  </mergeCells>
  <conditionalFormatting sqref="K14:K33">
    <cfRule type="cellIs" dxfId="28" priority="1" stopIfTrue="1" operator="lessThan">
      <formula>J14</formula>
    </cfRule>
  </conditionalFormatting>
  <conditionalFormatting sqref="J15:J33">
    <cfRule type="cellIs" dxfId="27" priority="2" stopIfTrue="1" operator="lessThanOrEqual">
      <formula>J14</formula>
    </cfRule>
    <cfRule type="cellIs" dxfId="26" priority="3" stopIfTrue="1" operator="lessThanOrEqual">
      <formula>K14</formula>
    </cfRule>
    <cfRule type="cellIs" dxfId="25" priority="4" stopIfTrue="1" operator="greaterThan">
      <formula>K14 +1</formula>
    </cfRule>
  </conditionalFormatting>
  <conditionalFormatting sqref="I35">
    <cfRule type="cellIs" dxfId="24" priority="5" stopIfTrue="1" operator="notBetween">
      <formula>0</formula>
      <formula>9</formula>
    </cfRule>
  </conditionalFormatting>
  <conditionalFormatting sqref="L14:L33">
    <cfRule type="expression" dxfId="23" priority="6" stopIfTrue="1">
      <formula>OR(L14&lt;0,AND(L14&gt;2/3,L14&lt;4/5),AND(L14&gt;4/5,L14&lt;1),L14&gt;1)</formula>
    </cfRule>
  </conditionalFormatting>
  <conditionalFormatting sqref="I38">
    <cfRule type="expression" dxfId="22" priority="7" stopIfTrue="1">
      <formula>AND($I$40&lt;=$G$7,$G$7&gt;0)</formula>
    </cfRule>
  </conditionalFormatting>
  <conditionalFormatting sqref="G9:H9">
    <cfRule type="cellIs" dxfId="21" priority="8" stopIfTrue="1" operator="notBetween">
      <formula>1</formula>
      <formula>16</formula>
    </cfRule>
  </conditionalFormatting>
  <dataValidations count="8">
    <dataValidation type="date" operator="greaterThan" allowBlank="1" showInputMessage="1" showErrorMessage="1" error="Zadejte datum" promptTitle="Datum nástupu do zaměstnání" prompt="Zadejte datum" sqref="G7:H7" xr:uid="{00000000-0002-0000-0000-000000000000}">
      <formula1>10959</formula1>
    </dataValidation>
    <dataValidation type="date" operator="greaterThan" allowBlank="1" showInputMessage="1" showErrorMessage="1" error="Zadejte datum" promptTitle="Práce vykonávána od" prompt="Zadejte datum vstupu do zaměstnání nebo datum zahájení vykonávání práce, datum zahájení MD, RD, voj. služby apod." sqref="J14" xr:uid="{00000000-0002-0000-0000-000001000000}">
      <formula1>10959</formula1>
    </dataValidation>
    <dataValidation allowBlank="1" showInputMessage="1" showErrorMessage="1" promptTitle="Firma (zaměstnavatel)" sqref="C14:F14" xr:uid="{00000000-0002-0000-0000-000002000000}"/>
    <dataValidation type="date" operator="greaterThan" allowBlank="1" showInputMessage="1" showErrorMessage="1" errorTitle="Datum vstupu do zaměstnání" error="Datum musí být vyšší než datum ukončení předcházejícího zaměstnání" promptTitle="Práce vykonávána od" prompt="Zadejte datum vstupu do zaměstnání nebo datum zahájení vykonávání práce, datum zahájení MD, RD, voj. služby apod." sqref="J15:J33" xr:uid="{00000000-0002-0000-0000-000003000000}">
      <formula1>K14</formula1>
    </dataValidation>
    <dataValidation type="date" allowBlank="1" showInputMessage="1" showErrorMessage="1" errorTitle="Datum ukončení zaměstnání" error="Datum musí být vyšší než datum zahájení práce, případně nižší než datum zahájení tohoto pracovního poměru!_x000a_" promptTitle="Práce vykonávána do" prompt="Zadejte datum ukončení zaměstnání nebo datum ukončení vykonávání práce, datum ukončení MD, RD, voj. služby apod." sqref="K14:K33" xr:uid="{00000000-0002-0000-0000-000004000000}">
      <formula1>J14</formula1>
      <formula2>$G$7-1</formula2>
    </dataValidation>
    <dataValidation type="custom" allowBlank="1" showInputMessage="1" showErrorMessage="1" errorTitle="Nepřípustná hodnota" error="Lze zadat hodnoty v rozsahu 0 až 2/3 nebo 1" promptTitle="Rozsah zápočtu" prompt="Lze zadat hodnoty v rozsahu 0 až 2/3 nebo 1" sqref="L14:L33" xr:uid="{00000000-0002-0000-0000-000005000000}">
      <formula1>OR(AND(L14&gt;=0,L14&lt;=2/3),L14=1)</formula1>
    </dataValidation>
    <dataValidation type="list" allowBlank="1" showInputMessage="1" showErrorMessage="1" errorTitle="Platová třída" error="Zadejte celé číslo od 1 do 16 bez tečky za číslem" promptTitle="Platová třída" prompt="Vyberte ze seznamu nebo zapište číslicí" sqref="G9:H9" xr:uid="{00000000-0002-0000-0000-000006000000}">
      <formula1>$O$20:$O$35</formula1>
    </dataValidation>
    <dataValidation type="list" allowBlank="1" showInputMessage="1" showErrorMessage="1" promptTitle="Nejvyšší získané vzdělání" prompt="Vyberte ze seznamu" sqref="G6:L6" xr:uid="{00000000-0002-0000-0000-000007000000}">
      <formula1>$T$2:$T$8</formula1>
    </dataValidation>
  </dataValidations>
  <printOptions gridLinesSet="0"/>
  <pageMargins left="0.98425196850393704" right="0.19685039370078741" top="0.98425196850393704" bottom="0.78740157480314965" header="0.51181102362204722" footer="0.51181102362204722"/>
  <pageSetup paperSize="9" scale="95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46"/>
  <sheetViews>
    <sheetView showGridLines="0" showRowColHeaders="0" topLeftCell="B1" zoomScaleNormal="100" workbookViewId="0">
      <selection activeCell="C1" sqref="C1:N1"/>
    </sheetView>
  </sheetViews>
  <sheetFormatPr defaultColWidth="0" defaultRowHeight="0" customHeight="1" zeroHeight="1" x14ac:dyDescent="0.2"/>
  <cols>
    <col min="1" max="1" width="10.7109375" style="5" hidden="1" customWidth="1"/>
    <col min="2" max="2" width="3" style="5" customWidth="1"/>
    <col min="3" max="3" width="3.7109375" style="1" customWidth="1"/>
    <col min="4" max="4" width="11.42578125" style="1" customWidth="1"/>
    <col min="5" max="6" width="11.42578125" style="1" hidden="1" customWidth="1"/>
    <col min="7" max="7" width="13.28515625" style="1" customWidth="1"/>
    <col min="8" max="8" width="10.7109375" style="1" customWidth="1"/>
    <col min="9" max="9" width="10.7109375" style="1" hidden="1" customWidth="1"/>
    <col min="10" max="10" width="11.85546875" style="1" customWidth="1"/>
    <col min="11" max="12" width="10.7109375" style="1" customWidth="1"/>
    <col min="13" max="13" width="7.42578125" style="1" customWidth="1"/>
    <col min="14" max="14" width="9.7109375" style="1" customWidth="1"/>
    <col min="15" max="15" width="1.7109375" style="30" customWidth="1"/>
    <col min="16" max="16" width="5" style="13" hidden="1" customWidth="1"/>
    <col min="17" max="17" width="43" style="13" hidden="1" customWidth="1"/>
    <col min="18" max="18" width="7.5703125" style="14" hidden="1" customWidth="1"/>
    <col min="19" max="19" width="20.42578125" style="14" hidden="1" customWidth="1"/>
    <col min="20" max="20" width="7.5703125" style="14" hidden="1" customWidth="1"/>
    <col min="21" max="21" width="36.42578125" style="14" hidden="1" customWidth="1"/>
    <col min="22" max="22" width="7.5703125" style="14" hidden="1" customWidth="1"/>
    <col min="23" max="23" width="35.5703125" style="14" hidden="1" customWidth="1"/>
    <col min="24" max="24" width="7.5703125" style="15" hidden="1" customWidth="1"/>
    <col min="25" max="25" width="36.42578125" style="15" hidden="1" customWidth="1"/>
    <col min="26" max="26" width="7.5703125" style="15" hidden="1" customWidth="1"/>
    <col min="27" max="27" width="11.28515625" style="15" hidden="1" customWidth="1"/>
    <col min="28" max="28" width="7.5703125" style="15" hidden="1" customWidth="1"/>
    <col min="29" max="29" width="19.85546875" style="15" hidden="1" customWidth="1"/>
    <col min="30" max="30" width="7.5703125" style="15" hidden="1" customWidth="1"/>
    <col min="31" max="31" width="1.7109375" style="5" customWidth="1"/>
    <col min="32" max="16384" width="10.7109375" style="5" hidden="1"/>
  </cols>
  <sheetData>
    <row r="1" spans="3:29" ht="26.25" customHeight="1" thickTop="1" thickBot="1" x14ac:dyDescent="0.55000000000000004">
      <c r="C1" s="309" t="s">
        <v>61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40"/>
      <c r="P1" s="70" t="s">
        <v>29</v>
      </c>
      <c r="Q1" s="71" t="s">
        <v>34</v>
      </c>
      <c r="R1" s="105" t="s">
        <v>51</v>
      </c>
      <c r="U1" s="70" t="s">
        <v>30</v>
      </c>
      <c r="V1" s="71" t="s">
        <v>33</v>
      </c>
      <c r="Y1" s="72" t="s">
        <v>32</v>
      </c>
      <c r="Z1" s="73"/>
      <c r="AA1" s="62" t="s">
        <v>10</v>
      </c>
      <c r="AB1" s="63"/>
      <c r="AC1" s="64"/>
    </row>
    <row r="2" spans="3:29" ht="20.25" customHeight="1" thickTop="1" thickBot="1" x14ac:dyDescent="0.3">
      <c r="C2" s="310" t="s">
        <v>60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18"/>
      <c r="P2" s="54">
        <v>1</v>
      </c>
      <c r="Q2" s="55" t="s">
        <v>39</v>
      </c>
      <c r="R2" s="104">
        <v>1</v>
      </c>
      <c r="U2" s="56" t="s">
        <v>39</v>
      </c>
      <c r="V2" s="42">
        <v>1</v>
      </c>
      <c r="Y2" s="65" t="s">
        <v>27</v>
      </c>
      <c r="Z2" s="66" t="s">
        <v>3</v>
      </c>
      <c r="AA2" s="67" t="s">
        <v>27</v>
      </c>
      <c r="AB2" s="68" t="s">
        <v>3</v>
      </c>
      <c r="AC2" s="69" t="s">
        <v>28</v>
      </c>
    </row>
    <row r="3" spans="3:29" ht="13.5" thickTop="1" x14ac:dyDescent="0.2">
      <c r="C3" s="224" t="s">
        <v>63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9"/>
      <c r="P3" s="57">
        <v>2</v>
      </c>
      <c r="Q3" s="61" t="s">
        <v>39</v>
      </c>
      <c r="R3" s="102">
        <v>1</v>
      </c>
      <c r="U3" s="57" t="s">
        <v>47</v>
      </c>
      <c r="V3" s="45">
        <v>2</v>
      </c>
      <c r="Y3" s="43"/>
      <c r="Z3" s="44">
        <v>-100</v>
      </c>
      <c r="AA3" s="93"/>
      <c r="AB3" s="94"/>
      <c r="AC3" s="95"/>
    </row>
    <row r="4" spans="3:29" ht="13.5" thickBot="1" x14ac:dyDescent="0.25"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19"/>
      <c r="P4" s="57">
        <v>3</v>
      </c>
      <c r="Q4" s="58" t="s">
        <v>40</v>
      </c>
      <c r="R4" s="102">
        <v>2</v>
      </c>
      <c r="U4" s="57" t="s">
        <v>42</v>
      </c>
      <c r="V4" s="45">
        <v>3</v>
      </c>
      <c r="Y4" s="46">
        <v>1</v>
      </c>
      <c r="Z4" s="47">
        <v>1</v>
      </c>
      <c r="AA4" s="96">
        <f t="shared" ref="AA4:AA15" si="0">IF(AND($J$36&gt;=Z3,$J$36&lt;Z4),Y4,"")</f>
        <v>1</v>
      </c>
      <c r="AB4" s="97">
        <f t="shared" ref="AB4:AB15" si="1">IF(AND($J$36&gt;=Z3,$J$36&lt;Z4),Z4,"")</f>
        <v>1</v>
      </c>
      <c r="AC4" s="98">
        <f t="shared" ref="AC4:AC15" si="2">IF(AND($J$36&gt;=Z3,$J$36&lt;Z4),Z5-Z4,"")</f>
        <v>1</v>
      </c>
    </row>
    <row r="5" spans="3:29" ht="22.5" customHeight="1" x14ac:dyDescent="0.2">
      <c r="C5" s="312" t="s">
        <v>8</v>
      </c>
      <c r="D5" s="313"/>
      <c r="E5" s="313"/>
      <c r="F5" s="313"/>
      <c r="G5" s="314"/>
      <c r="H5" s="327"/>
      <c r="I5" s="328"/>
      <c r="J5" s="328"/>
      <c r="K5" s="328"/>
      <c r="L5" s="329"/>
      <c r="M5" s="318"/>
      <c r="N5" s="319"/>
      <c r="O5" s="20"/>
      <c r="P5" s="57">
        <v>4</v>
      </c>
      <c r="Q5" s="58" t="s">
        <v>41</v>
      </c>
      <c r="R5" s="102">
        <v>2</v>
      </c>
      <c r="U5" s="57" t="s">
        <v>44</v>
      </c>
      <c r="V5" s="45">
        <v>4</v>
      </c>
      <c r="Y5" s="46">
        <v>2</v>
      </c>
      <c r="Z5" s="48">
        <v>2</v>
      </c>
      <c r="AA5" s="96" t="str">
        <f t="shared" si="0"/>
        <v/>
      </c>
      <c r="AB5" s="97" t="str">
        <f t="shared" si="1"/>
        <v/>
      </c>
      <c r="AC5" s="98" t="str">
        <f t="shared" si="2"/>
        <v/>
      </c>
    </row>
    <row r="6" spans="3:29" ht="12.75" x14ac:dyDescent="0.2">
      <c r="C6" s="263" t="s">
        <v>50</v>
      </c>
      <c r="D6" s="264"/>
      <c r="E6" s="264"/>
      <c r="F6" s="264"/>
      <c r="G6" s="265"/>
      <c r="H6" s="320"/>
      <c r="I6" s="321"/>
      <c r="J6" s="321"/>
      <c r="K6" s="321"/>
      <c r="L6" s="321"/>
      <c r="M6" s="322"/>
      <c r="N6" s="33"/>
      <c r="O6" s="29"/>
      <c r="P6" s="57">
        <v>5</v>
      </c>
      <c r="Q6" s="58" t="s">
        <v>42</v>
      </c>
      <c r="R6" s="102">
        <v>3</v>
      </c>
      <c r="U6" s="57" t="s">
        <v>48</v>
      </c>
      <c r="V6" s="45">
        <v>5</v>
      </c>
      <c r="Y6" s="46">
        <v>3</v>
      </c>
      <c r="Z6" s="48">
        <v>4</v>
      </c>
      <c r="AA6" s="96" t="str">
        <f t="shared" si="0"/>
        <v/>
      </c>
      <c r="AB6" s="97" t="str">
        <f t="shared" si="1"/>
        <v/>
      </c>
      <c r="AC6" s="98" t="str">
        <f t="shared" si="2"/>
        <v/>
      </c>
    </row>
    <row r="7" spans="3:29" ht="12.75" x14ac:dyDescent="0.2">
      <c r="C7" s="301" t="s">
        <v>6</v>
      </c>
      <c r="D7" s="302"/>
      <c r="E7" s="302"/>
      <c r="F7" s="302"/>
      <c r="G7" s="302"/>
      <c r="H7" s="32"/>
      <c r="I7" s="221"/>
      <c r="J7" s="303"/>
      <c r="K7" s="304"/>
      <c r="L7" s="304"/>
      <c r="M7" s="304"/>
      <c r="N7" s="305"/>
      <c r="O7" s="21"/>
      <c r="P7" s="57">
        <v>6</v>
      </c>
      <c r="Q7" s="58" t="s">
        <v>43</v>
      </c>
      <c r="R7" s="102">
        <v>3</v>
      </c>
      <c r="U7" s="57" t="s">
        <v>49</v>
      </c>
      <c r="V7" s="45">
        <v>6</v>
      </c>
      <c r="Y7" s="46">
        <v>4</v>
      </c>
      <c r="Z7" s="48">
        <v>6</v>
      </c>
      <c r="AA7" s="96" t="str">
        <f t="shared" si="0"/>
        <v/>
      </c>
      <c r="AB7" s="97" t="str">
        <f t="shared" si="1"/>
        <v/>
      </c>
      <c r="AC7" s="98" t="str">
        <f t="shared" si="2"/>
        <v/>
      </c>
    </row>
    <row r="8" spans="3:29" ht="13.5" thickBot="1" x14ac:dyDescent="0.25">
      <c r="C8" s="301" t="s">
        <v>0</v>
      </c>
      <c r="D8" s="302"/>
      <c r="E8" s="302"/>
      <c r="F8" s="302"/>
      <c r="G8" s="302"/>
      <c r="H8" s="324"/>
      <c r="I8" s="325"/>
      <c r="J8" s="325"/>
      <c r="K8" s="325"/>
      <c r="L8" s="325"/>
      <c r="M8" s="326"/>
      <c r="N8" s="6"/>
      <c r="O8" s="22"/>
      <c r="P8" s="57">
        <v>7</v>
      </c>
      <c r="Q8" s="58" t="s">
        <v>44</v>
      </c>
      <c r="R8" s="102">
        <v>4</v>
      </c>
      <c r="U8" s="59" t="s">
        <v>46</v>
      </c>
      <c r="V8" s="49">
        <v>7</v>
      </c>
      <c r="Y8" s="46">
        <v>5</v>
      </c>
      <c r="Z8" s="48">
        <v>9</v>
      </c>
      <c r="AA8" s="96" t="str">
        <f t="shared" si="0"/>
        <v/>
      </c>
      <c r="AB8" s="97" t="str">
        <f t="shared" si="1"/>
        <v/>
      </c>
      <c r="AC8" s="98" t="str">
        <f t="shared" si="2"/>
        <v/>
      </c>
    </row>
    <row r="9" spans="3:29" ht="14.25" thickTop="1" thickBot="1" x14ac:dyDescent="0.25">
      <c r="C9" s="296" t="s">
        <v>9</v>
      </c>
      <c r="D9" s="297"/>
      <c r="E9" s="297"/>
      <c r="F9" s="297"/>
      <c r="G9" s="297"/>
      <c r="H9" s="112"/>
      <c r="I9" s="222"/>
      <c r="J9" s="260" t="str">
        <f>IF(OR(H6="",H9=0),"",IF(VLOOKUP(H9,P2:R17,3)&lt;=VLOOKUP(H6,U11:W17,3),"","Výjimečné zařazení zaměstnance do této platové třídy"))</f>
        <v/>
      </c>
      <c r="K9" s="261"/>
      <c r="L9" s="261"/>
      <c r="M9" s="261"/>
      <c r="N9" s="262"/>
      <c r="O9" s="23"/>
      <c r="P9" s="57">
        <v>8</v>
      </c>
      <c r="Q9" s="58" t="s">
        <v>44</v>
      </c>
      <c r="R9" s="102">
        <v>4</v>
      </c>
      <c r="U9" s="74"/>
      <c r="Y9" s="46">
        <v>6</v>
      </c>
      <c r="Z9" s="48">
        <v>12</v>
      </c>
      <c r="AA9" s="96" t="str">
        <f t="shared" si="0"/>
        <v/>
      </c>
      <c r="AB9" s="97" t="str">
        <f t="shared" si="1"/>
        <v/>
      </c>
      <c r="AC9" s="98" t="str">
        <f t="shared" si="2"/>
        <v/>
      </c>
    </row>
    <row r="10" spans="3:29" ht="15.75" thickBot="1" x14ac:dyDescent="0.25">
      <c r="C10" s="263" t="s">
        <v>34</v>
      </c>
      <c r="D10" s="264"/>
      <c r="E10" s="264"/>
      <c r="F10" s="264"/>
      <c r="G10" s="265"/>
      <c r="H10" s="266" t="str">
        <f>IF(H9="","",VLOOKUP(H9,P2:Q17,2))</f>
        <v/>
      </c>
      <c r="I10" s="267"/>
      <c r="J10" s="267"/>
      <c r="K10" s="267"/>
      <c r="L10" s="267"/>
      <c r="M10" s="268"/>
      <c r="N10" s="111"/>
      <c r="O10" s="24"/>
      <c r="P10" s="57">
        <v>9</v>
      </c>
      <c r="Q10" s="58" t="s">
        <v>45</v>
      </c>
      <c r="R10" s="102">
        <v>4</v>
      </c>
      <c r="U10" s="90" t="s">
        <v>20</v>
      </c>
      <c r="V10" s="109" t="s">
        <v>19</v>
      </c>
      <c r="W10" s="110" t="s">
        <v>33</v>
      </c>
      <c r="Y10" s="46">
        <v>7</v>
      </c>
      <c r="Z10" s="48">
        <v>15</v>
      </c>
      <c r="AA10" s="96" t="str">
        <f t="shared" si="0"/>
        <v/>
      </c>
      <c r="AB10" s="97" t="str">
        <f t="shared" si="1"/>
        <v/>
      </c>
      <c r="AC10" s="98" t="str">
        <f t="shared" si="2"/>
        <v/>
      </c>
    </row>
    <row r="11" spans="3:29" ht="15.75" thickBot="1" x14ac:dyDescent="0.25"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1"/>
      <c r="O11" s="24"/>
      <c r="P11" s="57">
        <v>10</v>
      </c>
      <c r="Q11" s="58" t="s">
        <v>52</v>
      </c>
      <c r="R11" s="102">
        <v>5</v>
      </c>
      <c r="U11" s="84" t="str">
        <f>IF(H9="","",VLOOKUP(H9,P20:AD35,2))</f>
        <v/>
      </c>
      <c r="V11" s="87" t="str">
        <f>IF(H9="","",VLOOKUP(H9,P20:AD35,3))</f>
        <v/>
      </c>
      <c r="W11" s="108">
        <v>2</v>
      </c>
      <c r="Y11" s="46">
        <v>8</v>
      </c>
      <c r="Z11" s="48">
        <v>19</v>
      </c>
      <c r="AA11" s="96" t="str">
        <f t="shared" si="0"/>
        <v/>
      </c>
      <c r="AB11" s="97" t="str">
        <f t="shared" si="1"/>
        <v/>
      </c>
      <c r="AC11" s="98" t="str">
        <f t="shared" si="2"/>
        <v/>
      </c>
    </row>
    <row r="12" spans="3:29" ht="15" x14ac:dyDescent="0.2">
      <c r="C12" s="278" t="s">
        <v>12</v>
      </c>
      <c r="D12" s="280" t="s">
        <v>35</v>
      </c>
      <c r="E12" s="281"/>
      <c r="F12" s="281"/>
      <c r="G12" s="282"/>
      <c r="H12" s="286" t="s">
        <v>36</v>
      </c>
      <c r="I12" s="287"/>
      <c r="J12" s="288"/>
      <c r="K12" s="292" t="s">
        <v>38</v>
      </c>
      <c r="L12" s="293"/>
      <c r="M12" s="294" t="s">
        <v>22</v>
      </c>
      <c r="N12" s="273" t="s">
        <v>57</v>
      </c>
      <c r="O12" s="24"/>
      <c r="P12" s="57">
        <v>11</v>
      </c>
      <c r="Q12" s="58" t="s">
        <v>53</v>
      </c>
      <c r="R12" s="102">
        <v>6</v>
      </c>
      <c r="U12" s="85" t="str">
        <f>IF(H9="","",VLOOKUP(H9,P20:AD35,4))</f>
        <v/>
      </c>
      <c r="V12" s="88" t="str">
        <f>IF(H9="","",VLOOKUP(H9,P20:AD35,5))</f>
        <v/>
      </c>
      <c r="W12" s="106">
        <v>4</v>
      </c>
      <c r="Y12" s="46">
        <v>9</v>
      </c>
      <c r="Z12" s="48">
        <v>23</v>
      </c>
      <c r="AA12" s="96" t="str">
        <f t="shared" si="0"/>
        <v/>
      </c>
      <c r="AB12" s="97" t="str">
        <f t="shared" si="1"/>
        <v/>
      </c>
      <c r="AC12" s="98" t="str">
        <f t="shared" si="2"/>
        <v/>
      </c>
    </row>
    <row r="13" spans="3:29" ht="15.75" thickBot="1" x14ac:dyDescent="0.25">
      <c r="C13" s="279"/>
      <c r="D13" s="283"/>
      <c r="E13" s="284"/>
      <c r="F13" s="284"/>
      <c r="G13" s="285"/>
      <c r="H13" s="289"/>
      <c r="I13" s="290"/>
      <c r="J13" s="291"/>
      <c r="K13" s="119" t="s">
        <v>1</v>
      </c>
      <c r="L13" s="120" t="s">
        <v>2</v>
      </c>
      <c r="M13" s="295"/>
      <c r="N13" s="274"/>
      <c r="O13" s="24"/>
      <c r="P13" s="57">
        <v>12</v>
      </c>
      <c r="Q13" s="58" t="s">
        <v>53</v>
      </c>
      <c r="R13" s="102">
        <v>6</v>
      </c>
      <c r="U13" s="85" t="str">
        <f>IF(H9="","",VLOOKUP(H9,P20:AD35,6))</f>
        <v/>
      </c>
      <c r="V13" s="88" t="str">
        <f>IF(H9="","",VLOOKUP(H9,P20:AD35,7))</f>
        <v/>
      </c>
      <c r="W13" s="106">
        <v>3</v>
      </c>
      <c r="Y13" s="46">
        <v>10</v>
      </c>
      <c r="Z13" s="48">
        <v>27</v>
      </c>
      <c r="AA13" s="96" t="str">
        <f t="shared" si="0"/>
        <v/>
      </c>
      <c r="AB13" s="97" t="str">
        <f t="shared" si="1"/>
        <v/>
      </c>
      <c r="AC13" s="98" t="str">
        <f t="shared" si="2"/>
        <v/>
      </c>
    </row>
    <row r="14" spans="3:29" ht="12.75" x14ac:dyDescent="0.2">
      <c r="C14" s="9">
        <v>1</v>
      </c>
      <c r="D14" s="275"/>
      <c r="E14" s="276"/>
      <c r="F14" s="276"/>
      <c r="G14" s="323"/>
      <c r="H14" s="275"/>
      <c r="I14" s="276"/>
      <c r="J14" s="323"/>
      <c r="K14" s="7"/>
      <c r="L14" s="7"/>
      <c r="M14" s="8"/>
      <c r="N14" s="16" t="str">
        <f>IF(AND(K14&gt;0,L14&gt;0,L14&gt;=K14),(YEAR(L14)-YEAR(K14-1)+(MONTH(L14)-MONTH(K14-1))/12+(DAY(L14)-DAY(K14-1))/365.25)*M14,"")</f>
        <v/>
      </c>
      <c r="O14" s="22"/>
      <c r="P14" s="57">
        <v>13</v>
      </c>
      <c r="Q14" s="58" t="s">
        <v>46</v>
      </c>
      <c r="R14" s="102">
        <v>7</v>
      </c>
      <c r="U14" s="85" t="str">
        <f>IF(H9="","",VLOOKUP(H9,P20:AD35,8))</f>
        <v/>
      </c>
      <c r="V14" s="88" t="str">
        <f>IF(H9="","",VLOOKUP(H9,P20:AD35,9))</f>
        <v/>
      </c>
      <c r="W14" s="106">
        <v>6</v>
      </c>
      <c r="Y14" s="46">
        <v>11</v>
      </c>
      <c r="Z14" s="48">
        <v>32</v>
      </c>
      <c r="AA14" s="96" t="str">
        <f t="shared" si="0"/>
        <v/>
      </c>
      <c r="AB14" s="97" t="str">
        <f t="shared" si="1"/>
        <v/>
      </c>
      <c r="AC14" s="98" t="str">
        <f t="shared" si="2"/>
        <v/>
      </c>
    </row>
    <row r="15" spans="3:29" ht="12.75" x14ac:dyDescent="0.2">
      <c r="C15" s="10" t="str">
        <f t="shared" ref="C15:C33" si="3">IF(AND(D15="",H15=""),"",C14+1)</f>
        <v/>
      </c>
      <c r="D15" s="235"/>
      <c r="E15" s="236"/>
      <c r="F15" s="236"/>
      <c r="G15" s="237"/>
      <c r="H15" s="235"/>
      <c r="I15" s="236"/>
      <c r="J15" s="237"/>
      <c r="K15" s="2"/>
      <c r="L15" s="7"/>
      <c r="M15" s="8"/>
      <c r="N15" s="17" t="str">
        <f t="shared" ref="N15:N33" si="4">IF(AND(K15&gt;0,L15&gt;0,L15&gt;=K15,M15&gt;=0,K15&gt;L14),(YEAR(L15)-YEAR(K15-1)+(MONTH(L15)-MONTH(K15-1))/12+(DAY(L15)-DAY(K15-1))/365.25)*M15,"")</f>
        <v/>
      </c>
      <c r="O15" s="22"/>
      <c r="P15" s="57">
        <v>14</v>
      </c>
      <c r="Q15" s="58" t="s">
        <v>46</v>
      </c>
      <c r="R15" s="102">
        <v>7</v>
      </c>
      <c r="U15" s="85" t="str">
        <f>IF(H9="","",VLOOKUP(H9,P20:AD35,10))</f>
        <v/>
      </c>
      <c r="V15" s="88" t="str">
        <f>IF(H9="","",VLOOKUP(H9,P20:AD35,11))</f>
        <v/>
      </c>
      <c r="W15" s="106">
        <v>7</v>
      </c>
      <c r="Y15" s="46">
        <v>12</v>
      </c>
      <c r="Z15" s="48">
        <v>100</v>
      </c>
      <c r="AA15" s="96" t="str">
        <f t="shared" si="0"/>
        <v/>
      </c>
      <c r="AB15" s="97" t="str">
        <f t="shared" si="1"/>
        <v/>
      </c>
      <c r="AC15" s="98" t="str">
        <f t="shared" si="2"/>
        <v/>
      </c>
    </row>
    <row r="16" spans="3:29" ht="13.5" thickBot="1" x14ac:dyDescent="0.25">
      <c r="C16" s="10" t="str">
        <f t="shared" si="3"/>
        <v/>
      </c>
      <c r="D16" s="235"/>
      <c r="E16" s="236"/>
      <c r="F16" s="236"/>
      <c r="G16" s="237"/>
      <c r="H16" s="235"/>
      <c r="I16" s="236"/>
      <c r="J16" s="237"/>
      <c r="K16" s="2"/>
      <c r="L16" s="7"/>
      <c r="M16" s="8"/>
      <c r="N16" s="17" t="str">
        <f t="shared" si="4"/>
        <v/>
      </c>
      <c r="O16" s="25"/>
      <c r="P16" s="57">
        <v>15</v>
      </c>
      <c r="Q16" s="58" t="s">
        <v>46</v>
      </c>
      <c r="R16" s="102">
        <v>7</v>
      </c>
      <c r="U16" s="85" t="str">
        <f>IF(H9="","",VLOOKUP(H9,P20:AD35,12))</f>
        <v/>
      </c>
      <c r="V16" s="88" t="str">
        <f>IF(H9="","",VLOOKUP(H9,P20:AD35,13))</f>
        <v/>
      </c>
      <c r="W16" s="106">
        <v>5</v>
      </c>
      <c r="Y16" s="50"/>
      <c r="Z16" s="51">
        <v>100</v>
      </c>
      <c r="AA16" s="113"/>
      <c r="AB16" s="114"/>
      <c r="AC16" s="115"/>
    </row>
    <row r="17" spans="3:30" s="4" customFormat="1" ht="14.25" thickTop="1" thickBot="1" x14ac:dyDescent="0.25">
      <c r="C17" s="10" t="str">
        <f t="shared" si="3"/>
        <v/>
      </c>
      <c r="D17" s="235"/>
      <c r="E17" s="236"/>
      <c r="F17" s="236"/>
      <c r="G17" s="237"/>
      <c r="H17" s="235"/>
      <c r="I17" s="236"/>
      <c r="J17" s="237"/>
      <c r="K17" s="2"/>
      <c r="L17" s="7"/>
      <c r="M17" s="8"/>
      <c r="N17" s="17" t="str">
        <f t="shared" si="4"/>
        <v/>
      </c>
      <c r="O17" s="41"/>
      <c r="P17" s="59">
        <v>16</v>
      </c>
      <c r="Q17" s="60" t="s">
        <v>46</v>
      </c>
      <c r="R17" s="103">
        <v>7</v>
      </c>
      <c r="U17" s="86" t="str">
        <f>IF(H9="","",VLOOKUP(H9,P20:AD35,14))</f>
        <v/>
      </c>
      <c r="V17" s="89" t="str">
        <f>IF(H9="","",VLOOKUP(H9,P20:AD35,15))</f>
        <v/>
      </c>
      <c r="W17" s="107">
        <v>1</v>
      </c>
      <c r="Y17" s="52" t="s">
        <v>11</v>
      </c>
      <c r="Z17" s="53"/>
      <c r="AA17" s="99">
        <f>SUM(AA4:AA16)</f>
        <v>1</v>
      </c>
      <c r="AB17" s="100">
        <f>SUM(AB4:AB16)</f>
        <v>1</v>
      </c>
      <c r="AC17" s="101">
        <f>SUM(AC4:AC16)</f>
        <v>1</v>
      </c>
    </row>
    <row r="18" spans="3:30" ht="14.25" thickTop="1" thickBot="1" x14ac:dyDescent="0.25">
      <c r="C18" s="10" t="str">
        <f t="shared" si="3"/>
        <v/>
      </c>
      <c r="D18" s="235"/>
      <c r="E18" s="236"/>
      <c r="F18" s="236"/>
      <c r="G18" s="237"/>
      <c r="H18" s="235"/>
      <c r="I18" s="236"/>
      <c r="J18" s="237"/>
      <c r="K18" s="2"/>
      <c r="L18" s="7"/>
      <c r="M18" s="8"/>
      <c r="N18" s="17" t="str">
        <f t="shared" si="4"/>
        <v/>
      </c>
      <c r="O18" s="26"/>
      <c r="P18" s="15"/>
      <c r="Q18" s="15"/>
      <c r="R18" s="15"/>
      <c r="S18" s="15"/>
      <c r="T18" s="15"/>
      <c r="U18" s="15"/>
      <c r="V18" s="15"/>
      <c r="W18" s="15"/>
    </row>
    <row r="19" spans="3:30" ht="14.25" thickTop="1" thickBot="1" x14ac:dyDescent="0.25">
      <c r="C19" s="10" t="str">
        <f t="shared" si="3"/>
        <v/>
      </c>
      <c r="D19" s="235"/>
      <c r="E19" s="236"/>
      <c r="F19" s="236"/>
      <c r="G19" s="237"/>
      <c r="H19" s="235"/>
      <c r="I19" s="236"/>
      <c r="J19" s="237"/>
      <c r="K19" s="2"/>
      <c r="L19" s="7"/>
      <c r="M19" s="8"/>
      <c r="N19" s="17" t="str">
        <f t="shared" si="4"/>
        <v/>
      </c>
      <c r="O19" s="26"/>
      <c r="P19" s="75" t="s">
        <v>29</v>
      </c>
      <c r="Q19" s="76" t="s">
        <v>30</v>
      </c>
      <c r="R19" s="77" t="s">
        <v>31</v>
      </c>
      <c r="S19" s="76" t="s">
        <v>30</v>
      </c>
      <c r="T19" s="77" t="s">
        <v>31</v>
      </c>
      <c r="U19" s="76" t="s">
        <v>30</v>
      </c>
      <c r="V19" s="77" t="s">
        <v>31</v>
      </c>
      <c r="W19" s="76" t="s">
        <v>30</v>
      </c>
      <c r="X19" s="77" t="s">
        <v>31</v>
      </c>
      <c r="Y19" s="76" t="s">
        <v>30</v>
      </c>
      <c r="Z19" s="77" t="s">
        <v>31</v>
      </c>
      <c r="AA19" s="76" t="s">
        <v>30</v>
      </c>
      <c r="AB19" s="77" t="s">
        <v>31</v>
      </c>
      <c r="AC19" s="78" t="s">
        <v>30</v>
      </c>
      <c r="AD19" s="77" t="s">
        <v>31</v>
      </c>
    </row>
    <row r="20" spans="3:30" ht="12.75" x14ac:dyDescent="0.2">
      <c r="C20" s="10" t="str">
        <f t="shared" si="3"/>
        <v/>
      </c>
      <c r="D20" s="235"/>
      <c r="E20" s="236"/>
      <c r="F20" s="236"/>
      <c r="G20" s="237"/>
      <c r="H20" s="235"/>
      <c r="I20" s="236"/>
      <c r="J20" s="237"/>
      <c r="K20" s="2"/>
      <c r="L20" s="7"/>
      <c r="M20" s="8"/>
      <c r="N20" s="17" t="str">
        <f t="shared" si="4"/>
        <v/>
      </c>
      <c r="O20" s="26"/>
      <c r="P20" s="79">
        <v>1</v>
      </c>
      <c r="Q20" s="82" t="str">
        <f t="shared" ref="Q20:Q35" si="5">$U$3</f>
        <v xml:space="preserve">střední </v>
      </c>
      <c r="R20" s="61">
        <v>0</v>
      </c>
      <c r="S20" s="82" t="str">
        <f t="shared" ref="S20:S35" si="6">$U$5</f>
        <v>střední s maturitní zkouškou</v>
      </c>
      <c r="T20" s="61">
        <v>0</v>
      </c>
      <c r="U20" s="82" t="str">
        <f t="shared" ref="U20:U35" si="7">$U$4</f>
        <v>střední s výučním listem</v>
      </c>
      <c r="V20" s="61">
        <v>0</v>
      </c>
      <c r="W20" s="91" t="str">
        <f t="shared" ref="W20:W35" si="8">$U$7</f>
        <v>vysokoškolské v bakalářském studijním programu</v>
      </c>
      <c r="X20" s="61">
        <v>0</v>
      </c>
      <c r="Y20" s="82" t="str">
        <f t="shared" ref="Y20:Y35" si="9">$U$8</f>
        <v>vysokoškolské v magisterském studijním programu</v>
      </c>
      <c r="Z20" s="61">
        <v>0</v>
      </c>
      <c r="AA20" s="91" t="str">
        <f t="shared" ref="AA20:AA35" si="10">$U$6</f>
        <v xml:space="preserve">vyšší odborné </v>
      </c>
      <c r="AB20" s="61">
        <v>0</v>
      </c>
      <c r="AC20" s="91" t="str">
        <f t="shared" ref="AC20:AC35" si="11">$U$2</f>
        <v>základní (základy vzdělání)</v>
      </c>
      <c r="AD20" s="61">
        <v>0</v>
      </c>
    </row>
    <row r="21" spans="3:30" ht="12.75" x14ac:dyDescent="0.2">
      <c r="C21" s="10" t="str">
        <f t="shared" si="3"/>
        <v/>
      </c>
      <c r="D21" s="235"/>
      <c r="E21" s="236"/>
      <c r="F21" s="236"/>
      <c r="G21" s="237"/>
      <c r="H21" s="235"/>
      <c r="I21" s="236"/>
      <c r="J21" s="237"/>
      <c r="K21" s="2"/>
      <c r="L21" s="7"/>
      <c r="M21" s="8"/>
      <c r="N21" s="17" t="str">
        <f t="shared" si="4"/>
        <v/>
      </c>
      <c r="O21" s="26"/>
      <c r="P21" s="80">
        <v>2</v>
      </c>
      <c r="Q21" s="82" t="str">
        <f t="shared" si="5"/>
        <v xml:space="preserve">střední </v>
      </c>
      <c r="R21" s="58">
        <v>0</v>
      </c>
      <c r="S21" s="82" t="str">
        <f t="shared" si="6"/>
        <v>střední s maturitní zkouškou</v>
      </c>
      <c r="T21" s="58">
        <v>0</v>
      </c>
      <c r="U21" s="82" t="str">
        <f t="shared" si="7"/>
        <v>střední s výučním listem</v>
      </c>
      <c r="V21" s="58">
        <v>0</v>
      </c>
      <c r="W21" s="91" t="str">
        <f t="shared" si="8"/>
        <v>vysokoškolské v bakalářském studijním programu</v>
      </c>
      <c r="X21" s="58">
        <v>0</v>
      </c>
      <c r="Y21" s="82" t="str">
        <f t="shared" si="9"/>
        <v>vysokoškolské v magisterském studijním programu</v>
      </c>
      <c r="Z21" s="58">
        <v>0</v>
      </c>
      <c r="AA21" s="91" t="str">
        <f t="shared" si="10"/>
        <v xml:space="preserve">vyšší odborné </v>
      </c>
      <c r="AB21" s="58">
        <v>0</v>
      </c>
      <c r="AC21" s="91" t="str">
        <f t="shared" si="11"/>
        <v>základní (základy vzdělání)</v>
      </c>
      <c r="AD21" s="58">
        <v>0</v>
      </c>
    </row>
    <row r="22" spans="3:30" ht="12.75" x14ac:dyDescent="0.2">
      <c r="C22" s="10" t="str">
        <f t="shared" si="3"/>
        <v/>
      </c>
      <c r="D22" s="235"/>
      <c r="E22" s="236"/>
      <c r="F22" s="236"/>
      <c r="G22" s="237"/>
      <c r="H22" s="235"/>
      <c r="I22" s="236"/>
      <c r="J22" s="237"/>
      <c r="K22" s="2"/>
      <c r="L22" s="7"/>
      <c r="M22" s="8"/>
      <c r="N22" s="17" t="str">
        <f t="shared" si="4"/>
        <v/>
      </c>
      <c r="O22" s="26"/>
      <c r="P22" s="80">
        <v>3</v>
      </c>
      <c r="Q22" s="82" t="str">
        <f t="shared" si="5"/>
        <v xml:space="preserve">střední </v>
      </c>
      <c r="R22" s="58">
        <v>0</v>
      </c>
      <c r="S22" s="82" t="str">
        <f t="shared" si="6"/>
        <v>střední s maturitní zkouškou</v>
      </c>
      <c r="T22" s="58">
        <v>0</v>
      </c>
      <c r="U22" s="82" t="str">
        <f t="shared" si="7"/>
        <v>střední s výučním listem</v>
      </c>
      <c r="V22" s="58">
        <v>0</v>
      </c>
      <c r="W22" s="91" t="str">
        <f t="shared" si="8"/>
        <v>vysokoškolské v bakalářském studijním programu</v>
      </c>
      <c r="X22" s="58">
        <v>0</v>
      </c>
      <c r="Y22" s="82" t="str">
        <f t="shared" si="9"/>
        <v>vysokoškolské v magisterském studijním programu</v>
      </c>
      <c r="Z22" s="58">
        <v>0</v>
      </c>
      <c r="AA22" s="91" t="str">
        <f t="shared" si="10"/>
        <v xml:space="preserve">vyšší odborné </v>
      </c>
      <c r="AB22" s="58">
        <v>0</v>
      </c>
      <c r="AC22" s="91" t="str">
        <f t="shared" si="11"/>
        <v>základní (základy vzdělání)</v>
      </c>
      <c r="AD22" s="58">
        <v>0</v>
      </c>
    </row>
    <row r="23" spans="3:30" ht="12.75" x14ac:dyDescent="0.2">
      <c r="C23" s="10" t="str">
        <f t="shared" si="3"/>
        <v/>
      </c>
      <c r="D23" s="235"/>
      <c r="E23" s="236"/>
      <c r="F23" s="236"/>
      <c r="G23" s="237"/>
      <c r="H23" s="235"/>
      <c r="I23" s="236"/>
      <c r="J23" s="237"/>
      <c r="K23" s="2"/>
      <c r="L23" s="7"/>
      <c r="M23" s="8"/>
      <c r="N23" s="17" t="str">
        <f t="shared" si="4"/>
        <v/>
      </c>
      <c r="O23" s="26"/>
      <c r="P23" s="80">
        <v>4</v>
      </c>
      <c r="Q23" s="82" t="str">
        <f t="shared" si="5"/>
        <v xml:space="preserve">střední </v>
      </c>
      <c r="R23" s="58">
        <v>0</v>
      </c>
      <c r="S23" s="82" t="str">
        <f t="shared" si="6"/>
        <v>střední s maturitní zkouškou</v>
      </c>
      <c r="T23" s="58">
        <v>0</v>
      </c>
      <c r="U23" s="82" t="str">
        <f t="shared" si="7"/>
        <v>střední s výučním listem</v>
      </c>
      <c r="V23" s="58">
        <v>0</v>
      </c>
      <c r="W23" s="91" t="str">
        <f t="shared" si="8"/>
        <v>vysokoškolské v bakalářském studijním programu</v>
      </c>
      <c r="X23" s="58">
        <v>0</v>
      </c>
      <c r="Y23" s="82" t="str">
        <f t="shared" si="9"/>
        <v>vysokoškolské v magisterském studijním programu</v>
      </c>
      <c r="Z23" s="58">
        <v>0</v>
      </c>
      <c r="AA23" s="91" t="str">
        <f t="shared" si="10"/>
        <v xml:space="preserve">vyšší odborné </v>
      </c>
      <c r="AB23" s="58">
        <v>0</v>
      </c>
      <c r="AC23" s="91" t="str">
        <f t="shared" si="11"/>
        <v>základní (základy vzdělání)</v>
      </c>
      <c r="AD23" s="58">
        <v>0</v>
      </c>
    </row>
    <row r="24" spans="3:30" ht="12.75" x14ac:dyDescent="0.2">
      <c r="C24" s="10" t="str">
        <f t="shared" si="3"/>
        <v/>
      </c>
      <c r="D24" s="235"/>
      <c r="E24" s="236"/>
      <c r="F24" s="236"/>
      <c r="G24" s="237"/>
      <c r="H24" s="235"/>
      <c r="I24" s="236"/>
      <c r="J24" s="237"/>
      <c r="K24" s="2"/>
      <c r="L24" s="7"/>
      <c r="M24" s="8"/>
      <c r="N24" s="17" t="str">
        <f t="shared" si="4"/>
        <v/>
      </c>
      <c r="O24" s="26"/>
      <c r="P24" s="80">
        <v>5</v>
      </c>
      <c r="Q24" s="82" t="str">
        <f t="shared" si="5"/>
        <v xml:space="preserve">střední </v>
      </c>
      <c r="R24" s="58">
        <v>0</v>
      </c>
      <c r="S24" s="82" t="str">
        <f t="shared" si="6"/>
        <v>střední s maturitní zkouškou</v>
      </c>
      <c r="T24" s="58">
        <v>0</v>
      </c>
      <c r="U24" s="82" t="str">
        <f t="shared" si="7"/>
        <v>střední s výučním listem</v>
      </c>
      <c r="V24" s="58">
        <v>0</v>
      </c>
      <c r="W24" s="91" t="str">
        <f t="shared" si="8"/>
        <v>vysokoškolské v bakalářském studijním programu</v>
      </c>
      <c r="X24" s="58">
        <v>0</v>
      </c>
      <c r="Y24" s="82" t="str">
        <f t="shared" si="9"/>
        <v>vysokoškolské v magisterském studijním programu</v>
      </c>
      <c r="Z24" s="58">
        <v>0</v>
      </c>
      <c r="AA24" s="91" t="str">
        <f t="shared" si="10"/>
        <v xml:space="preserve">vyšší odborné </v>
      </c>
      <c r="AB24" s="58">
        <v>0</v>
      </c>
      <c r="AC24" s="91" t="str">
        <f t="shared" si="11"/>
        <v>základní (základy vzdělání)</v>
      </c>
      <c r="AD24" s="58">
        <v>0</v>
      </c>
    </row>
    <row r="25" spans="3:30" ht="12.75" x14ac:dyDescent="0.2">
      <c r="C25" s="10" t="str">
        <f t="shared" si="3"/>
        <v/>
      </c>
      <c r="D25" s="235"/>
      <c r="E25" s="236"/>
      <c r="F25" s="236"/>
      <c r="G25" s="237"/>
      <c r="H25" s="235"/>
      <c r="I25" s="236"/>
      <c r="J25" s="237"/>
      <c r="K25" s="2"/>
      <c r="L25" s="7"/>
      <c r="M25" s="8"/>
      <c r="N25" s="17" t="str">
        <f t="shared" si="4"/>
        <v/>
      </c>
      <c r="O25" s="26"/>
      <c r="P25" s="80">
        <v>6</v>
      </c>
      <c r="Q25" s="82" t="str">
        <f t="shared" si="5"/>
        <v xml:space="preserve">střední </v>
      </c>
      <c r="R25" s="58">
        <v>2</v>
      </c>
      <c r="S25" s="82" t="str">
        <f t="shared" si="6"/>
        <v>střední s maturitní zkouškou</v>
      </c>
      <c r="T25" s="58">
        <v>0</v>
      </c>
      <c r="U25" s="82" t="str">
        <f t="shared" si="7"/>
        <v>střední s výučním listem</v>
      </c>
      <c r="V25" s="58">
        <v>1</v>
      </c>
      <c r="W25" s="91" t="str">
        <f t="shared" si="8"/>
        <v>vysokoškolské v bakalářském studijním programu</v>
      </c>
      <c r="X25" s="58">
        <v>0</v>
      </c>
      <c r="Y25" s="82" t="str">
        <f t="shared" si="9"/>
        <v>vysokoškolské v magisterském studijním programu</v>
      </c>
      <c r="Z25" s="58">
        <v>0</v>
      </c>
      <c r="AA25" s="91" t="str">
        <f t="shared" si="10"/>
        <v xml:space="preserve">vyšší odborné </v>
      </c>
      <c r="AB25" s="58">
        <v>0</v>
      </c>
      <c r="AC25" s="91" t="str">
        <f t="shared" si="11"/>
        <v>základní (základy vzdělání)</v>
      </c>
      <c r="AD25" s="58">
        <v>4</v>
      </c>
    </row>
    <row r="26" spans="3:30" ht="12.75" x14ac:dyDescent="0.2">
      <c r="C26" s="10" t="str">
        <f t="shared" si="3"/>
        <v/>
      </c>
      <c r="D26" s="235"/>
      <c r="E26" s="236"/>
      <c r="F26" s="236"/>
      <c r="G26" s="237"/>
      <c r="H26" s="235"/>
      <c r="I26" s="236"/>
      <c r="J26" s="237"/>
      <c r="K26" s="2"/>
      <c r="L26" s="7"/>
      <c r="M26" s="3"/>
      <c r="N26" s="17" t="str">
        <f t="shared" si="4"/>
        <v/>
      </c>
      <c r="O26" s="26"/>
      <c r="P26" s="80">
        <v>7</v>
      </c>
      <c r="Q26" s="82" t="str">
        <f t="shared" si="5"/>
        <v xml:space="preserve">střední </v>
      </c>
      <c r="R26" s="58">
        <v>2</v>
      </c>
      <c r="S26" s="82" t="str">
        <f t="shared" si="6"/>
        <v>střední s maturitní zkouškou</v>
      </c>
      <c r="T26" s="58">
        <v>0</v>
      </c>
      <c r="U26" s="82" t="str">
        <f t="shared" si="7"/>
        <v>střední s výučním listem</v>
      </c>
      <c r="V26" s="58">
        <v>1</v>
      </c>
      <c r="W26" s="91" t="str">
        <f t="shared" si="8"/>
        <v>vysokoškolské v bakalářském studijním programu</v>
      </c>
      <c r="X26" s="58">
        <v>0</v>
      </c>
      <c r="Y26" s="82" t="str">
        <f t="shared" si="9"/>
        <v>vysokoškolské v magisterském studijním programu</v>
      </c>
      <c r="Z26" s="58">
        <v>0</v>
      </c>
      <c r="AA26" s="91" t="str">
        <f t="shared" si="10"/>
        <v xml:space="preserve">vyšší odborné </v>
      </c>
      <c r="AB26" s="58">
        <v>0</v>
      </c>
      <c r="AC26" s="91" t="str">
        <f t="shared" si="11"/>
        <v>základní (základy vzdělání)</v>
      </c>
      <c r="AD26" s="58">
        <v>4</v>
      </c>
    </row>
    <row r="27" spans="3:30" ht="12.75" x14ac:dyDescent="0.2">
      <c r="C27" s="10" t="str">
        <f t="shared" si="3"/>
        <v/>
      </c>
      <c r="D27" s="235"/>
      <c r="E27" s="236"/>
      <c r="F27" s="236"/>
      <c r="G27" s="237"/>
      <c r="H27" s="235"/>
      <c r="I27" s="236"/>
      <c r="J27" s="237"/>
      <c r="K27" s="2"/>
      <c r="L27" s="7"/>
      <c r="M27" s="3"/>
      <c r="N27" s="17" t="str">
        <f t="shared" si="4"/>
        <v/>
      </c>
      <c r="O27" s="26"/>
      <c r="P27" s="80">
        <v>8</v>
      </c>
      <c r="Q27" s="82" t="str">
        <f t="shared" si="5"/>
        <v xml:space="preserve">střední </v>
      </c>
      <c r="R27" s="58">
        <v>2</v>
      </c>
      <c r="S27" s="82" t="str">
        <f t="shared" si="6"/>
        <v>střední s maturitní zkouškou</v>
      </c>
      <c r="T27" s="58">
        <v>0</v>
      </c>
      <c r="U27" s="82" t="str">
        <f t="shared" si="7"/>
        <v>střední s výučním listem</v>
      </c>
      <c r="V27" s="58">
        <v>1</v>
      </c>
      <c r="W27" s="91" t="str">
        <f t="shared" si="8"/>
        <v>vysokoškolské v bakalářském studijním programu</v>
      </c>
      <c r="X27" s="58">
        <v>0</v>
      </c>
      <c r="Y27" s="82" t="str">
        <f t="shared" si="9"/>
        <v>vysokoškolské v magisterském studijním programu</v>
      </c>
      <c r="Z27" s="58">
        <v>0</v>
      </c>
      <c r="AA27" s="91" t="str">
        <f t="shared" si="10"/>
        <v xml:space="preserve">vyšší odborné </v>
      </c>
      <c r="AB27" s="58">
        <v>0</v>
      </c>
      <c r="AC27" s="91" t="str">
        <f t="shared" si="11"/>
        <v>základní (základy vzdělání)</v>
      </c>
      <c r="AD27" s="58">
        <v>4</v>
      </c>
    </row>
    <row r="28" spans="3:30" ht="12.75" x14ac:dyDescent="0.2">
      <c r="C28" s="10" t="str">
        <f t="shared" si="3"/>
        <v/>
      </c>
      <c r="D28" s="235"/>
      <c r="E28" s="236"/>
      <c r="F28" s="236"/>
      <c r="G28" s="237"/>
      <c r="H28" s="235"/>
      <c r="I28" s="236"/>
      <c r="J28" s="237"/>
      <c r="K28" s="2"/>
      <c r="L28" s="7"/>
      <c r="M28" s="3"/>
      <c r="N28" s="17" t="str">
        <f t="shared" si="4"/>
        <v/>
      </c>
      <c r="O28" s="26"/>
      <c r="P28" s="80">
        <v>9</v>
      </c>
      <c r="Q28" s="82" t="str">
        <f t="shared" si="5"/>
        <v xml:space="preserve">střední </v>
      </c>
      <c r="R28" s="58">
        <v>4</v>
      </c>
      <c r="S28" s="82" t="str">
        <f t="shared" si="6"/>
        <v>střední s maturitní zkouškou</v>
      </c>
      <c r="T28" s="58">
        <v>2</v>
      </c>
      <c r="U28" s="82" t="str">
        <f t="shared" si="7"/>
        <v>střední s výučním listem</v>
      </c>
      <c r="V28" s="58">
        <v>3</v>
      </c>
      <c r="W28" s="91" t="str">
        <f t="shared" si="8"/>
        <v>vysokoškolské v bakalářském studijním programu</v>
      </c>
      <c r="X28" s="58">
        <v>0</v>
      </c>
      <c r="Y28" s="82" t="str">
        <f t="shared" si="9"/>
        <v>vysokoškolské v magisterském studijním programu</v>
      </c>
      <c r="Z28" s="58">
        <v>0</v>
      </c>
      <c r="AA28" s="91" t="str">
        <f t="shared" si="10"/>
        <v xml:space="preserve">vyšší odborné </v>
      </c>
      <c r="AB28" s="58">
        <v>0</v>
      </c>
      <c r="AC28" s="91" t="str">
        <f t="shared" si="11"/>
        <v>základní (základy vzdělání)</v>
      </c>
      <c r="AD28" s="58">
        <v>6</v>
      </c>
    </row>
    <row r="29" spans="3:30" ht="12.75" x14ac:dyDescent="0.2">
      <c r="C29" s="10" t="str">
        <f t="shared" si="3"/>
        <v/>
      </c>
      <c r="D29" s="235"/>
      <c r="E29" s="236"/>
      <c r="F29" s="236"/>
      <c r="G29" s="237"/>
      <c r="H29" s="235"/>
      <c r="I29" s="236"/>
      <c r="J29" s="237"/>
      <c r="K29" s="2"/>
      <c r="L29" s="7"/>
      <c r="M29" s="3"/>
      <c r="N29" s="17" t="str">
        <f t="shared" si="4"/>
        <v/>
      </c>
      <c r="O29" s="26"/>
      <c r="P29" s="80">
        <v>10</v>
      </c>
      <c r="Q29" s="82" t="str">
        <f t="shared" si="5"/>
        <v xml:space="preserve">střední </v>
      </c>
      <c r="R29" s="58">
        <v>5</v>
      </c>
      <c r="S29" s="82" t="str">
        <f t="shared" si="6"/>
        <v>střední s maturitní zkouškou</v>
      </c>
      <c r="T29" s="58">
        <v>3</v>
      </c>
      <c r="U29" s="82" t="str">
        <f t="shared" si="7"/>
        <v>střední s výučním listem</v>
      </c>
      <c r="V29" s="58">
        <v>4</v>
      </c>
      <c r="W29" s="91" t="str">
        <f t="shared" si="8"/>
        <v>vysokoškolské v bakalářském studijním programu</v>
      </c>
      <c r="X29" s="58">
        <v>0</v>
      </c>
      <c r="Y29" s="82" t="str">
        <f t="shared" si="9"/>
        <v>vysokoškolské v magisterském studijním programu</v>
      </c>
      <c r="Z29" s="58">
        <v>0</v>
      </c>
      <c r="AA29" s="91" t="str">
        <f t="shared" si="10"/>
        <v xml:space="preserve">vyšší odborné </v>
      </c>
      <c r="AB29" s="58">
        <v>0</v>
      </c>
      <c r="AC29" s="91" t="str">
        <f t="shared" si="11"/>
        <v>základní (základy vzdělání)</v>
      </c>
      <c r="AD29" s="58">
        <v>7</v>
      </c>
    </row>
    <row r="30" spans="3:30" ht="12.75" x14ac:dyDescent="0.2">
      <c r="C30" s="10" t="str">
        <f t="shared" si="3"/>
        <v/>
      </c>
      <c r="D30" s="235"/>
      <c r="E30" s="236"/>
      <c r="F30" s="236"/>
      <c r="G30" s="237"/>
      <c r="H30" s="235"/>
      <c r="I30" s="236"/>
      <c r="J30" s="237"/>
      <c r="K30" s="2"/>
      <c r="L30" s="7"/>
      <c r="M30" s="3"/>
      <c r="N30" s="17" t="str">
        <f t="shared" si="4"/>
        <v/>
      </c>
      <c r="O30" s="26"/>
      <c r="P30" s="80">
        <v>11</v>
      </c>
      <c r="Q30" s="82" t="str">
        <f t="shared" si="5"/>
        <v xml:space="preserve">střední </v>
      </c>
      <c r="R30" s="58">
        <v>7</v>
      </c>
      <c r="S30" s="82" t="str">
        <f t="shared" si="6"/>
        <v>střední s maturitní zkouškou</v>
      </c>
      <c r="T30" s="58">
        <v>5</v>
      </c>
      <c r="U30" s="82" t="str">
        <f t="shared" si="7"/>
        <v>střední s výučním listem</v>
      </c>
      <c r="V30" s="58">
        <v>6</v>
      </c>
      <c r="W30" s="91" t="str">
        <f t="shared" si="8"/>
        <v>vysokoškolské v bakalářském studijním programu</v>
      </c>
      <c r="X30" s="58">
        <v>2</v>
      </c>
      <c r="Y30" s="82" t="str">
        <f t="shared" si="9"/>
        <v>vysokoškolské v magisterském studijním programu</v>
      </c>
      <c r="Z30" s="58">
        <v>0</v>
      </c>
      <c r="AA30" s="91" t="str">
        <f t="shared" si="10"/>
        <v xml:space="preserve">vyšší odborné </v>
      </c>
      <c r="AB30" s="58">
        <v>2</v>
      </c>
      <c r="AC30" s="91" t="str">
        <f t="shared" si="11"/>
        <v>základní (základy vzdělání)</v>
      </c>
      <c r="AD30" s="58">
        <v>9</v>
      </c>
    </row>
    <row r="31" spans="3:30" ht="12.75" x14ac:dyDescent="0.2">
      <c r="C31" s="10" t="str">
        <f t="shared" si="3"/>
        <v/>
      </c>
      <c r="D31" s="235"/>
      <c r="E31" s="236"/>
      <c r="F31" s="236"/>
      <c r="G31" s="237"/>
      <c r="H31" s="235"/>
      <c r="I31" s="236"/>
      <c r="J31" s="237"/>
      <c r="K31" s="2"/>
      <c r="L31" s="7"/>
      <c r="M31" s="3"/>
      <c r="N31" s="17" t="str">
        <f t="shared" si="4"/>
        <v/>
      </c>
      <c r="O31" s="26"/>
      <c r="P31" s="80">
        <v>12</v>
      </c>
      <c r="Q31" s="82" t="str">
        <f t="shared" si="5"/>
        <v xml:space="preserve">střední </v>
      </c>
      <c r="R31" s="58">
        <v>7</v>
      </c>
      <c r="S31" s="82" t="str">
        <f t="shared" si="6"/>
        <v>střední s maturitní zkouškou</v>
      </c>
      <c r="T31" s="58">
        <v>5</v>
      </c>
      <c r="U31" s="82" t="str">
        <f t="shared" si="7"/>
        <v>střední s výučním listem</v>
      </c>
      <c r="V31" s="58">
        <v>6</v>
      </c>
      <c r="W31" s="91" t="str">
        <f t="shared" si="8"/>
        <v>vysokoškolské v bakalářském studijním programu</v>
      </c>
      <c r="X31" s="58">
        <v>2</v>
      </c>
      <c r="Y31" s="82" t="str">
        <f t="shared" si="9"/>
        <v>vysokoškolské v magisterském studijním programu</v>
      </c>
      <c r="Z31" s="58">
        <v>0</v>
      </c>
      <c r="AA31" s="91" t="str">
        <f t="shared" si="10"/>
        <v xml:space="preserve">vyšší odborné </v>
      </c>
      <c r="AB31" s="58">
        <v>2</v>
      </c>
      <c r="AC31" s="91" t="str">
        <f t="shared" si="11"/>
        <v>základní (základy vzdělání)</v>
      </c>
      <c r="AD31" s="58">
        <v>9</v>
      </c>
    </row>
    <row r="32" spans="3:30" ht="12.75" x14ac:dyDescent="0.2">
      <c r="C32" s="10" t="str">
        <f t="shared" si="3"/>
        <v/>
      </c>
      <c r="D32" s="235"/>
      <c r="E32" s="236"/>
      <c r="F32" s="236"/>
      <c r="G32" s="237"/>
      <c r="H32" s="235"/>
      <c r="I32" s="236"/>
      <c r="J32" s="237"/>
      <c r="K32" s="2"/>
      <c r="L32" s="7"/>
      <c r="M32" s="3"/>
      <c r="N32" s="17" t="str">
        <f t="shared" si="4"/>
        <v/>
      </c>
      <c r="O32" s="26"/>
      <c r="P32" s="80">
        <v>13</v>
      </c>
      <c r="Q32" s="82" t="str">
        <f t="shared" si="5"/>
        <v xml:space="preserve">střední </v>
      </c>
      <c r="R32" s="58">
        <v>7</v>
      </c>
      <c r="S32" s="82" t="str">
        <f t="shared" si="6"/>
        <v>střední s maturitní zkouškou</v>
      </c>
      <c r="T32" s="58">
        <v>5</v>
      </c>
      <c r="U32" s="82" t="str">
        <f t="shared" si="7"/>
        <v>střední s výučním listem</v>
      </c>
      <c r="V32" s="58">
        <v>6</v>
      </c>
      <c r="W32" s="91" t="str">
        <f t="shared" si="8"/>
        <v>vysokoškolské v bakalářském studijním programu</v>
      </c>
      <c r="X32" s="58">
        <v>2</v>
      </c>
      <c r="Y32" s="82" t="str">
        <f t="shared" si="9"/>
        <v>vysokoškolské v magisterském studijním programu</v>
      </c>
      <c r="Z32" s="58">
        <v>0</v>
      </c>
      <c r="AA32" s="91" t="str">
        <f t="shared" si="10"/>
        <v xml:space="preserve">vyšší odborné </v>
      </c>
      <c r="AB32" s="58">
        <v>2</v>
      </c>
      <c r="AC32" s="91" t="str">
        <f t="shared" si="11"/>
        <v>základní (základy vzdělání)</v>
      </c>
      <c r="AD32" s="58">
        <v>9</v>
      </c>
    </row>
    <row r="33" spans="3:30" ht="13.5" thickBot="1" x14ac:dyDescent="0.25">
      <c r="C33" s="11" t="str">
        <f t="shared" si="3"/>
        <v/>
      </c>
      <c r="D33" s="254"/>
      <c r="E33" s="255"/>
      <c r="F33" s="255"/>
      <c r="G33" s="256"/>
      <c r="H33" s="254"/>
      <c r="I33" s="255"/>
      <c r="J33" s="256"/>
      <c r="K33" s="2"/>
      <c r="L33" s="7"/>
      <c r="M33" s="12"/>
      <c r="N33" s="31" t="str">
        <f t="shared" si="4"/>
        <v/>
      </c>
      <c r="O33" s="26"/>
      <c r="P33" s="80">
        <v>14</v>
      </c>
      <c r="Q33" s="82" t="str">
        <f t="shared" si="5"/>
        <v xml:space="preserve">střední </v>
      </c>
      <c r="R33" s="58">
        <v>7</v>
      </c>
      <c r="S33" s="82" t="str">
        <f t="shared" si="6"/>
        <v>střední s maturitní zkouškou</v>
      </c>
      <c r="T33" s="58">
        <v>5</v>
      </c>
      <c r="U33" s="82" t="str">
        <f t="shared" si="7"/>
        <v>střední s výučním listem</v>
      </c>
      <c r="V33" s="58">
        <v>6</v>
      </c>
      <c r="W33" s="91" t="str">
        <f t="shared" si="8"/>
        <v>vysokoškolské v bakalářském studijním programu</v>
      </c>
      <c r="X33" s="58">
        <v>2</v>
      </c>
      <c r="Y33" s="82" t="str">
        <f t="shared" si="9"/>
        <v>vysokoškolské v magisterském studijním programu</v>
      </c>
      <c r="Z33" s="58">
        <v>0</v>
      </c>
      <c r="AA33" s="91" t="str">
        <f t="shared" si="10"/>
        <v xml:space="preserve">vyšší odborné </v>
      </c>
      <c r="AB33" s="58">
        <v>2</v>
      </c>
      <c r="AC33" s="91" t="str">
        <f t="shared" si="11"/>
        <v>základní (základy vzdělání)</v>
      </c>
      <c r="AD33" s="58">
        <v>9</v>
      </c>
    </row>
    <row r="34" spans="3:30" ht="12.75" x14ac:dyDescent="0.2">
      <c r="C34" s="257" t="s">
        <v>58</v>
      </c>
      <c r="D34" s="258"/>
      <c r="E34" s="258"/>
      <c r="F34" s="258"/>
      <c r="G34" s="258"/>
      <c r="H34" s="259"/>
      <c r="I34" s="220"/>
      <c r="J34" s="34">
        <f>SUM(N14:N33)</f>
        <v>0</v>
      </c>
      <c r="K34" s="238" t="s">
        <v>65</v>
      </c>
      <c r="L34" s="239"/>
      <c r="M34" s="239"/>
      <c r="N34" s="240"/>
      <c r="O34" s="26"/>
      <c r="P34" s="80">
        <v>15</v>
      </c>
      <c r="Q34" s="82" t="str">
        <f t="shared" si="5"/>
        <v xml:space="preserve">střední </v>
      </c>
      <c r="R34" s="58">
        <v>7</v>
      </c>
      <c r="S34" s="82" t="str">
        <f t="shared" si="6"/>
        <v>střední s maturitní zkouškou</v>
      </c>
      <c r="T34" s="58">
        <v>5</v>
      </c>
      <c r="U34" s="82" t="str">
        <f t="shared" si="7"/>
        <v>střední s výučním listem</v>
      </c>
      <c r="V34" s="58">
        <v>6</v>
      </c>
      <c r="W34" s="91" t="str">
        <f t="shared" si="8"/>
        <v>vysokoškolské v bakalářském studijním programu</v>
      </c>
      <c r="X34" s="58">
        <v>2</v>
      </c>
      <c r="Y34" s="82" t="str">
        <f t="shared" si="9"/>
        <v>vysokoškolské v magisterském studijním programu</v>
      </c>
      <c r="Z34" s="58">
        <v>0</v>
      </c>
      <c r="AA34" s="91" t="str">
        <f t="shared" si="10"/>
        <v xml:space="preserve">vyšší odborné </v>
      </c>
      <c r="AB34" s="58">
        <v>2</v>
      </c>
      <c r="AC34" s="91" t="str">
        <f t="shared" si="11"/>
        <v>základní (základy vzdělání)</v>
      </c>
      <c r="AD34" s="58">
        <v>9</v>
      </c>
    </row>
    <row r="35" spans="3:30" ht="13.5" thickBot="1" x14ac:dyDescent="0.25">
      <c r="C35" s="244" t="s">
        <v>59</v>
      </c>
      <c r="D35" s="245"/>
      <c r="E35" s="245"/>
      <c r="F35" s="245"/>
      <c r="G35" s="245"/>
      <c r="H35" s="246"/>
      <c r="I35" s="218"/>
      <c r="J35" s="35">
        <f>IF(ISERROR(VLOOKUP(H6,U11:V17,2)),0,VLOOKUP(H6,U11:V17,2))</f>
        <v>0</v>
      </c>
      <c r="K35" s="241"/>
      <c r="L35" s="242"/>
      <c r="M35" s="242"/>
      <c r="N35" s="243"/>
      <c r="O35" s="26"/>
      <c r="P35" s="81">
        <v>16</v>
      </c>
      <c r="Q35" s="83" t="str">
        <f t="shared" si="5"/>
        <v xml:space="preserve">střední </v>
      </c>
      <c r="R35" s="60">
        <v>7</v>
      </c>
      <c r="S35" s="83" t="str">
        <f t="shared" si="6"/>
        <v>střední s maturitní zkouškou</v>
      </c>
      <c r="T35" s="60">
        <v>5</v>
      </c>
      <c r="U35" s="83" t="str">
        <f t="shared" si="7"/>
        <v>střední s výučním listem</v>
      </c>
      <c r="V35" s="60">
        <v>6</v>
      </c>
      <c r="W35" s="92" t="str">
        <f t="shared" si="8"/>
        <v>vysokoškolské v bakalářském studijním programu</v>
      </c>
      <c r="X35" s="60">
        <v>2</v>
      </c>
      <c r="Y35" s="83" t="str">
        <f t="shared" si="9"/>
        <v>vysokoškolské v magisterském studijním programu</v>
      </c>
      <c r="Z35" s="60">
        <v>0</v>
      </c>
      <c r="AA35" s="92" t="str">
        <f t="shared" si="10"/>
        <v xml:space="preserve">vyšší odborné </v>
      </c>
      <c r="AB35" s="60">
        <v>2</v>
      </c>
      <c r="AC35" s="92" t="str">
        <f t="shared" si="11"/>
        <v>základní (základy vzdělání)</v>
      </c>
      <c r="AD35" s="60">
        <v>9</v>
      </c>
    </row>
    <row r="36" spans="3:30" ht="13.5" thickTop="1" x14ac:dyDescent="0.2">
      <c r="C36" s="247" t="s">
        <v>56</v>
      </c>
      <c r="D36" s="248"/>
      <c r="E36" s="248"/>
      <c r="F36" s="248"/>
      <c r="G36" s="248"/>
      <c r="H36" s="121" t="s">
        <v>54</v>
      </c>
      <c r="I36" s="223"/>
      <c r="J36" s="36">
        <f>J34-J35</f>
        <v>0</v>
      </c>
      <c r="K36" s="241"/>
      <c r="L36" s="242"/>
      <c r="M36" s="242"/>
      <c r="N36" s="243"/>
      <c r="O36" s="26"/>
    </row>
    <row r="37" spans="3:30" ht="12.75" x14ac:dyDescent="0.2">
      <c r="C37" s="249"/>
      <c r="D37" s="250"/>
      <c r="E37" s="250"/>
      <c r="F37" s="250"/>
      <c r="G37" s="250"/>
      <c r="H37" s="121" t="s">
        <v>55</v>
      </c>
      <c r="I37" s="223"/>
      <c r="J37" s="36" t="str">
        <f>INT(J36)&amp;" r. "&amp;ROUND((J36-INT(J36))*365,0)&amp;" dní"</f>
        <v>0 r. 0 dní</v>
      </c>
      <c r="K37" s="241"/>
      <c r="L37" s="242"/>
      <c r="M37" s="242"/>
      <c r="N37" s="243"/>
      <c r="O37" s="26"/>
    </row>
    <row r="38" spans="3:30" ht="12.75" x14ac:dyDescent="0.2">
      <c r="C38" s="251" t="s">
        <v>7</v>
      </c>
      <c r="D38" s="252"/>
      <c r="E38" s="252"/>
      <c r="F38" s="252"/>
      <c r="G38" s="252"/>
      <c r="H38" s="253"/>
      <c r="I38" s="219"/>
      <c r="J38" s="37">
        <f>IF(J34-J36&gt;=0,AA17,"Chyba!")</f>
        <v>1</v>
      </c>
      <c r="K38" s="241"/>
      <c r="L38" s="242"/>
      <c r="M38" s="242"/>
      <c r="N38" s="243"/>
      <c r="O38" s="26"/>
    </row>
    <row r="39" spans="3:30" ht="12.75" x14ac:dyDescent="0.2">
      <c r="C39" s="244" t="str">
        <f>IF(J38&lt;12,"Podmínky pro platový postup splněny","")</f>
        <v>Podmínky pro platový postup splněny</v>
      </c>
      <c r="D39" s="245"/>
      <c r="E39" s="245"/>
      <c r="F39" s="245"/>
      <c r="G39" s="245"/>
      <c r="H39" s="246"/>
      <c r="I39" s="218"/>
      <c r="J39" s="38" t="str">
        <f>IF(AND(H7&gt;0,J38&lt;12),ROUND(H7-1+(AB17-J36)*365.25,0),"")</f>
        <v/>
      </c>
      <c r="K39" s="241"/>
      <c r="L39" s="242"/>
      <c r="M39" s="242"/>
      <c r="N39" s="243"/>
      <c r="O39" s="27"/>
    </row>
    <row r="40" spans="3:30" ht="13.5" thickBot="1" x14ac:dyDescent="0.25">
      <c r="C40" s="226" t="str">
        <f>IF(AND(J40&gt;0,J38&lt;12), "Postup do dalšího platového stupně dne","")</f>
        <v>Postup do dalšího platového stupně dne</v>
      </c>
      <c r="D40" s="227"/>
      <c r="E40" s="227"/>
      <c r="F40" s="227"/>
      <c r="G40" s="227"/>
      <c r="H40" s="228"/>
      <c r="I40" s="216"/>
      <c r="J40" s="39" t="str">
        <f>IF(AND(H7&gt;0,J39&gt;0,J38&lt;12),J39-DAY(J39)+1,"")</f>
        <v/>
      </c>
      <c r="K40" s="229"/>
      <c r="L40" s="230"/>
      <c r="M40" s="230"/>
      <c r="N40" s="231"/>
      <c r="O40" s="28"/>
    </row>
    <row r="41" spans="3:30" ht="12.75" x14ac:dyDescent="0.2"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8"/>
    </row>
    <row r="42" spans="3:30" ht="12.75" x14ac:dyDescent="0.2">
      <c r="C42" s="233" t="s">
        <v>4</v>
      </c>
      <c r="D42" s="233"/>
      <c r="E42" s="217"/>
      <c r="F42" s="217"/>
      <c r="G42" s="122" t="str">
        <f ca="1">IF(H7="","",IF(TODAY()&lt;=H7,TODAY(),H7))</f>
        <v/>
      </c>
      <c r="H42" s="224"/>
      <c r="I42" s="224"/>
      <c r="J42" s="224"/>
      <c r="K42" s="224"/>
      <c r="L42" s="224"/>
      <c r="M42" s="224"/>
      <c r="N42" s="224"/>
      <c r="O42" s="28"/>
    </row>
    <row r="43" spans="3:30" ht="12.75" customHeight="1" x14ac:dyDescent="0.2">
      <c r="C43" s="224"/>
      <c r="D43" s="224"/>
      <c r="E43" s="224"/>
      <c r="F43" s="224"/>
      <c r="G43" s="224"/>
      <c r="H43" s="224"/>
      <c r="I43" s="224"/>
      <c r="J43" s="224"/>
      <c r="K43" s="234"/>
      <c r="L43" s="234"/>
      <c r="M43" s="234"/>
      <c r="N43" s="234"/>
      <c r="O43" s="28"/>
    </row>
    <row r="44" spans="3:30" ht="12.75" customHeight="1" x14ac:dyDescent="0.2">
      <c r="C44" s="224"/>
      <c r="D44" s="224"/>
      <c r="E44" s="224"/>
      <c r="F44" s="224"/>
      <c r="G44" s="224"/>
      <c r="H44" s="224"/>
      <c r="I44" s="224"/>
      <c r="J44" s="224"/>
      <c r="K44" s="224" t="s">
        <v>5</v>
      </c>
      <c r="L44" s="224"/>
      <c r="M44" s="224"/>
      <c r="N44" s="224"/>
      <c r="O44" s="28"/>
    </row>
    <row r="45" spans="3:30" ht="145.5" customHeight="1" x14ac:dyDescent="0.2">
      <c r="C45" s="225"/>
      <c r="D45" s="225"/>
      <c r="E45" s="225"/>
      <c r="F45" s="225"/>
      <c r="G45" s="225"/>
      <c r="O45" s="29"/>
    </row>
    <row r="46" spans="3:30" ht="12" customHeight="1" x14ac:dyDescent="0.2">
      <c r="C46" s="225" t="s">
        <v>62</v>
      </c>
      <c r="D46" s="225"/>
      <c r="E46" s="225"/>
      <c r="F46" s="225"/>
      <c r="G46" s="225"/>
      <c r="O46" s="19"/>
    </row>
  </sheetData>
  <sheetProtection algorithmName="SHA-512" hashValue="kSkgZqs8U5ZQWJMEWsYbHiuxvrTnXOGE5NYvqM2Mg7SRoZ9LXU69y9muj1pOHZ+096XA0AKyWJFcIGmwxv9UZw==" saltValue="UyHR0+rWzKE5wpK7SadF3g==" spinCount="100000" sheet="1" objects="1" scenarios="1" selectLockedCells="1"/>
  <mergeCells count="81">
    <mergeCell ref="C46:G46"/>
    <mergeCell ref="C4:N4"/>
    <mergeCell ref="D33:G33"/>
    <mergeCell ref="D31:G31"/>
    <mergeCell ref="D28:G28"/>
    <mergeCell ref="K12:L12"/>
    <mergeCell ref="J9:N9"/>
    <mergeCell ref="H5:L5"/>
    <mergeCell ref="C39:H39"/>
    <mergeCell ref="N12:N13"/>
    <mergeCell ref="D30:G30"/>
    <mergeCell ref="D21:G21"/>
    <mergeCell ref="D26:G26"/>
    <mergeCell ref="D23:G23"/>
    <mergeCell ref="D24:G24"/>
    <mergeCell ref="D25:G25"/>
    <mergeCell ref="C10:G10"/>
    <mergeCell ref="C12:C13"/>
    <mergeCell ref="D12:G13"/>
    <mergeCell ref="D22:G22"/>
    <mergeCell ref="C11:N11"/>
    <mergeCell ref="D14:G14"/>
    <mergeCell ref="D15:G15"/>
    <mergeCell ref="D16:G16"/>
    <mergeCell ref="D18:G18"/>
    <mergeCell ref="D19:G19"/>
    <mergeCell ref="D20:G20"/>
    <mergeCell ref="H28:J28"/>
    <mergeCell ref="H27:J27"/>
    <mergeCell ref="H23:J23"/>
    <mergeCell ref="H19:J19"/>
    <mergeCell ref="H10:M10"/>
    <mergeCell ref="M12:M13"/>
    <mergeCell ref="H18:J18"/>
    <mergeCell ref="H12:J13"/>
    <mergeCell ref="H26:J26"/>
    <mergeCell ref="H24:J24"/>
    <mergeCell ref="H25:J25"/>
    <mergeCell ref="H32:J32"/>
    <mergeCell ref="C40:H40"/>
    <mergeCell ref="C38:H38"/>
    <mergeCell ref="C34:H34"/>
    <mergeCell ref="C35:H35"/>
    <mergeCell ref="C36:G37"/>
    <mergeCell ref="D27:G27"/>
    <mergeCell ref="C6:G6"/>
    <mergeCell ref="H6:M6"/>
    <mergeCell ref="H22:J22"/>
    <mergeCell ref="H20:J20"/>
    <mergeCell ref="H21:J21"/>
    <mergeCell ref="D17:G17"/>
    <mergeCell ref="H14:J14"/>
    <mergeCell ref="H15:J15"/>
    <mergeCell ref="H16:J16"/>
    <mergeCell ref="H17:J17"/>
    <mergeCell ref="J7:N7"/>
    <mergeCell ref="C7:G7"/>
    <mergeCell ref="C8:G8"/>
    <mergeCell ref="H8:M8"/>
    <mergeCell ref="C9:G9"/>
    <mergeCell ref="C1:N1"/>
    <mergeCell ref="C2:N2"/>
    <mergeCell ref="C3:N3"/>
    <mergeCell ref="C5:G5"/>
    <mergeCell ref="M5:N5"/>
    <mergeCell ref="C45:G45"/>
    <mergeCell ref="D29:G29"/>
    <mergeCell ref="D32:G32"/>
    <mergeCell ref="C44:J44"/>
    <mergeCell ref="K44:N44"/>
    <mergeCell ref="C43:J43"/>
    <mergeCell ref="C42:D42"/>
    <mergeCell ref="C41:N41"/>
    <mergeCell ref="H33:J33"/>
    <mergeCell ref="H29:J29"/>
    <mergeCell ref="H30:J30"/>
    <mergeCell ref="K43:N43"/>
    <mergeCell ref="H42:N42"/>
    <mergeCell ref="K34:N39"/>
    <mergeCell ref="K40:N40"/>
    <mergeCell ref="H31:J31"/>
  </mergeCells>
  <phoneticPr fontId="1" type="noConversion"/>
  <conditionalFormatting sqref="L14:L33">
    <cfRule type="cellIs" dxfId="20" priority="1" stopIfTrue="1" operator="lessThan">
      <formula>K14</formula>
    </cfRule>
  </conditionalFormatting>
  <conditionalFormatting sqref="K15:K33">
    <cfRule type="cellIs" dxfId="19" priority="2" stopIfTrue="1" operator="lessThanOrEqual">
      <formula>K14</formula>
    </cfRule>
    <cfRule type="cellIs" dxfId="18" priority="3" stopIfTrue="1" operator="lessThanOrEqual">
      <formula>L14</formula>
    </cfRule>
    <cfRule type="cellIs" dxfId="17" priority="4" stopIfTrue="1" operator="greaterThan">
      <formula>L14 +1</formula>
    </cfRule>
  </conditionalFormatting>
  <conditionalFormatting sqref="J35">
    <cfRule type="cellIs" dxfId="16" priority="5" stopIfTrue="1" operator="notBetween">
      <formula>0</formula>
      <formula>9</formula>
    </cfRule>
  </conditionalFormatting>
  <conditionalFormatting sqref="M14:M33">
    <cfRule type="expression" dxfId="15" priority="6" stopIfTrue="1">
      <formula>OR(M14&lt;0,AND(M14&gt;2/3,M14&lt;4/5),AND(M14&gt;4/5,M14&lt;1),M14&gt;1)</formula>
    </cfRule>
  </conditionalFormatting>
  <conditionalFormatting sqref="J38">
    <cfRule type="expression" dxfId="14" priority="7" stopIfTrue="1">
      <formula>AND($J$40&lt;=$H$7,$H$7&gt;0)</formula>
    </cfRule>
  </conditionalFormatting>
  <conditionalFormatting sqref="H9:I9">
    <cfRule type="cellIs" dxfId="13" priority="8" stopIfTrue="1" operator="notBetween">
      <formula>1</formula>
      <formula>16</formula>
    </cfRule>
  </conditionalFormatting>
  <dataValidations xWindow="847" yWindow="491" count="8">
    <dataValidation type="date" operator="greaterThan" allowBlank="1" showInputMessage="1" showErrorMessage="1" error="Zadejte datum" promptTitle="Datum nástupu do zaměstnání" prompt="Zadejte datum" sqref="H7:I7" xr:uid="{00000000-0002-0000-0100-000000000000}">
      <formula1>10959</formula1>
    </dataValidation>
    <dataValidation type="date" operator="greaterThan" allowBlank="1" showInputMessage="1" showErrorMessage="1" error="Zadejte datum" promptTitle="Práce vykonávána od" prompt="Zadejte datum vstupu do zaměstnání nebo datum zahájení vykonávání práce, datum zahájení MD, RD, voj. služby apod." sqref="K14" xr:uid="{00000000-0002-0000-0100-000001000000}">
      <formula1>10959</formula1>
    </dataValidation>
    <dataValidation allowBlank="1" showInputMessage="1" showErrorMessage="1" promptTitle="Firma (zaměstnavatel)" sqref="D14:G14" xr:uid="{00000000-0002-0000-0100-000002000000}"/>
    <dataValidation type="date" operator="greaterThan" allowBlank="1" showInputMessage="1" showErrorMessage="1" errorTitle="Datum vstupu do zaměstnání" error="Datum musí být vyšší než datum ukončení předcházejícího zaměstnání" promptTitle="Práce vykonávána od" prompt="Zadejte datum vstupu do zaměstnání nebo datum zahájení vykonávání práce, datum zahájení MD, RD, voj. služby apod." sqref="K15:K33" xr:uid="{00000000-0002-0000-0100-000003000000}">
      <formula1>L14</formula1>
    </dataValidation>
    <dataValidation type="date" allowBlank="1" showInputMessage="1" showErrorMessage="1" errorTitle="Datum ukončení zaměstnání" error="Datum musí být vyšší než datum zahájení práce, případně nižší než datum zahájení tohoto pracovního poměru!_x000a_" promptTitle="Práce vykonávána do" prompt="Zadejte datum ukončení zaměstnání nebo datum ukončení vykonávání práce, datum ukončení MD, RD, voj. služby apod." sqref="L14:L33" xr:uid="{00000000-0002-0000-0100-000004000000}">
      <formula1>K14</formula1>
      <formula2>$H$7-1</formula2>
    </dataValidation>
    <dataValidation type="custom" allowBlank="1" showInputMessage="1" showErrorMessage="1" errorTitle="Nepřípustná hodnota" error="Lze zadat hodnoty v rozsahu 0 až 2/3 nebo 1" promptTitle="Rozsah zápočtu" prompt="Lze zadat hodnoty v rozsahu 0 až 2/3 nebo 1" sqref="M14:M33" xr:uid="{00000000-0002-0000-0100-000005000000}">
      <formula1>OR(AND(M14&gt;=0,M14&lt;=2/3),M14=1)</formula1>
    </dataValidation>
    <dataValidation type="list" allowBlank="1" showInputMessage="1" showErrorMessage="1" errorTitle="Platová třída" error="Zadejte celé číslo od 1 do 16 bez tečky za číslem" promptTitle="Platová třída" prompt="Vyberte ze seznamu nebo zapište číslicí" sqref="H9:I9" xr:uid="{00000000-0002-0000-0100-000006000000}">
      <formula1>$P$20:$P$35</formula1>
    </dataValidation>
    <dataValidation type="list" allowBlank="1" showInputMessage="1" showErrorMessage="1" promptTitle="Nejvyšší získané vzdělání" prompt="Vyberte ze seznamu" sqref="H6:M6" xr:uid="{00000000-0002-0000-0100-000007000000}">
      <formula1>$U$2:$U$8</formula1>
    </dataValidation>
  </dataValidations>
  <printOptions gridLinesSet="0"/>
  <pageMargins left="0.98425196850393704" right="0.39370078740157483" top="0.98425196850393704" bottom="0.78740157480314965" header="0.51181102362204722" footer="0.51181102362204722"/>
  <pageSetup paperSize="9" scale="95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6"/>
  <sheetViews>
    <sheetView showGridLines="0" showRowColHeaders="0" zoomScaleNormal="100" workbookViewId="0">
      <selection activeCell="B1" sqref="A1:XFD1048576"/>
    </sheetView>
  </sheetViews>
  <sheetFormatPr defaultColWidth="0" defaultRowHeight="0" customHeight="1" zeroHeight="1" x14ac:dyDescent="0.2"/>
  <cols>
    <col min="1" max="1" width="3" style="134" customWidth="1"/>
    <col min="2" max="2" width="3.7109375" style="215" customWidth="1"/>
    <col min="3" max="3" width="11.42578125" style="215" customWidth="1"/>
    <col min="4" max="4" width="13.28515625" style="215" customWidth="1"/>
    <col min="5" max="5" width="10.7109375" style="215" customWidth="1"/>
    <col min="6" max="6" width="11.85546875" style="215" customWidth="1"/>
    <col min="7" max="8" width="10.7109375" style="215" customWidth="1"/>
    <col min="9" max="9" width="7.42578125" style="215" customWidth="1"/>
    <col min="10" max="10" width="9.7109375" style="215" customWidth="1"/>
    <col min="11" max="11" width="1.85546875" style="22" customWidth="1"/>
    <col min="12" max="12" width="5" style="213" hidden="1" customWidth="1"/>
    <col min="13" max="13" width="43" style="213" hidden="1" customWidth="1"/>
    <col min="14" max="14" width="7.5703125" style="127" hidden="1" customWidth="1"/>
    <col min="15" max="15" width="20.42578125" style="127" hidden="1" customWidth="1"/>
    <col min="16" max="16" width="7.5703125" style="127" hidden="1" customWidth="1"/>
    <col min="17" max="17" width="36.42578125" style="127" hidden="1" customWidth="1"/>
    <col min="18" max="18" width="7.5703125" style="127" hidden="1" customWidth="1"/>
    <col min="19" max="19" width="35.5703125" style="127" hidden="1" customWidth="1"/>
    <col min="20" max="20" width="7.5703125" style="128" hidden="1" customWidth="1"/>
    <col min="21" max="21" width="36.42578125" style="128" hidden="1" customWidth="1"/>
    <col min="22" max="22" width="7.5703125" style="128" hidden="1" customWidth="1"/>
    <col min="23" max="23" width="11.28515625" style="128" hidden="1" customWidth="1"/>
    <col min="24" max="24" width="7.5703125" style="128" hidden="1" customWidth="1"/>
    <col min="25" max="25" width="19.85546875" style="128" hidden="1" customWidth="1"/>
    <col min="26" max="26" width="7.5703125" style="128" hidden="1" customWidth="1"/>
    <col min="27" max="27" width="2" style="134" customWidth="1"/>
    <col min="28" max="16384" width="10.7109375" style="134" hidden="1"/>
  </cols>
  <sheetData>
    <row r="1" spans="2:25" ht="26.25" customHeight="1" thickTop="1" thickBot="1" x14ac:dyDescent="0.55000000000000004">
      <c r="B1" s="330" t="s">
        <v>61</v>
      </c>
      <c r="C1" s="330"/>
      <c r="D1" s="330"/>
      <c r="E1" s="330"/>
      <c r="F1" s="330"/>
      <c r="G1" s="330"/>
      <c r="H1" s="330"/>
      <c r="I1" s="330"/>
      <c r="J1" s="330"/>
      <c r="K1" s="123"/>
      <c r="L1" s="124" t="s">
        <v>29</v>
      </c>
      <c r="M1" s="125" t="s">
        <v>34</v>
      </c>
      <c r="N1" s="126" t="s">
        <v>51</v>
      </c>
      <c r="Q1" s="124" t="s">
        <v>30</v>
      </c>
      <c r="R1" s="125" t="s">
        <v>33</v>
      </c>
      <c r="U1" s="129" t="s">
        <v>32</v>
      </c>
      <c r="V1" s="130"/>
      <c r="W1" s="131" t="s">
        <v>10</v>
      </c>
      <c r="X1" s="132"/>
      <c r="Y1" s="133"/>
    </row>
    <row r="2" spans="2:25" ht="20.25" customHeight="1" thickTop="1" thickBot="1" x14ac:dyDescent="0.3">
      <c r="B2" s="331" t="s">
        <v>60</v>
      </c>
      <c r="C2" s="331"/>
      <c r="D2" s="331"/>
      <c r="E2" s="331"/>
      <c r="F2" s="331"/>
      <c r="G2" s="331"/>
      <c r="H2" s="331"/>
      <c r="I2" s="331"/>
      <c r="J2" s="331"/>
      <c r="K2" s="135"/>
      <c r="L2" s="136">
        <v>1</v>
      </c>
      <c r="M2" s="137" t="s">
        <v>39</v>
      </c>
      <c r="N2" s="138">
        <v>1</v>
      </c>
      <c r="Q2" s="139" t="s">
        <v>39</v>
      </c>
      <c r="R2" s="140">
        <v>1</v>
      </c>
      <c r="U2" s="141" t="s">
        <v>27</v>
      </c>
      <c r="V2" s="142" t="s">
        <v>3</v>
      </c>
      <c r="W2" s="143" t="s">
        <v>27</v>
      </c>
      <c r="X2" s="144" t="s">
        <v>3</v>
      </c>
      <c r="Y2" s="145" t="s">
        <v>28</v>
      </c>
    </row>
    <row r="3" spans="2:25" ht="13.5" thickTop="1" x14ac:dyDescent="0.2">
      <c r="B3" s="332" t="s">
        <v>63</v>
      </c>
      <c r="C3" s="332"/>
      <c r="D3" s="332"/>
      <c r="E3" s="332"/>
      <c r="F3" s="332"/>
      <c r="G3" s="332"/>
      <c r="H3" s="332"/>
      <c r="I3" s="332"/>
      <c r="J3" s="332"/>
      <c r="K3" s="21"/>
      <c r="L3" s="146">
        <v>2</v>
      </c>
      <c r="M3" s="147" t="s">
        <v>39</v>
      </c>
      <c r="N3" s="148">
        <v>1</v>
      </c>
      <c r="Q3" s="146" t="s">
        <v>47</v>
      </c>
      <c r="R3" s="149">
        <v>2</v>
      </c>
      <c r="U3" s="150"/>
      <c r="V3" s="151">
        <v>-100</v>
      </c>
      <c r="W3" s="152"/>
      <c r="X3" s="153"/>
      <c r="Y3" s="154"/>
    </row>
    <row r="4" spans="2:25" ht="13.5" thickBot="1" x14ac:dyDescent="0.25">
      <c r="B4" s="332"/>
      <c r="C4" s="332"/>
      <c r="D4" s="332"/>
      <c r="E4" s="332"/>
      <c r="F4" s="332"/>
      <c r="G4" s="332"/>
      <c r="H4" s="332"/>
      <c r="I4" s="332"/>
      <c r="J4" s="332"/>
      <c r="K4" s="21"/>
      <c r="L4" s="146">
        <v>3</v>
      </c>
      <c r="M4" s="155" t="s">
        <v>40</v>
      </c>
      <c r="N4" s="148">
        <v>2</v>
      </c>
      <c r="Q4" s="146" t="s">
        <v>42</v>
      </c>
      <c r="R4" s="149">
        <v>3</v>
      </c>
      <c r="U4" s="156">
        <v>1</v>
      </c>
      <c r="V4" s="157">
        <v>2</v>
      </c>
      <c r="W4" s="158" t="str">
        <f t="shared" ref="W4:W10" si="0">IF(AND($F$36&gt;=V3,$F$36&lt;V4),U4,"")</f>
        <v/>
      </c>
      <c r="X4" s="159" t="str">
        <f t="shared" ref="X4:X10" si="1">IF(AND($F$36&gt;=V3,$F$36&lt;V4),V4,"")</f>
        <v/>
      </c>
      <c r="Y4" s="160" t="str">
        <f t="shared" ref="Y4:Y10" si="2">IF(AND($F$36&gt;=V3,$F$36&lt;V4),V5-V4,"")</f>
        <v/>
      </c>
    </row>
    <row r="5" spans="2:25" ht="22.5" customHeight="1" x14ac:dyDescent="0.2">
      <c r="B5" s="312" t="s">
        <v>8</v>
      </c>
      <c r="C5" s="313"/>
      <c r="D5" s="314"/>
      <c r="E5" s="333" t="s">
        <v>14</v>
      </c>
      <c r="F5" s="334"/>
      <c r="G5" s="334"/>
      <c r="H5" s="335"/>
      <c r="I5" s="336"/>
      <c r="J5" s="337"/>
      <c r="K5" s="161"/>
      <c r="L5" s="146">
        <v>4</v>
      </c>
      <c r="M5" s="155" t="s">
        <v>41</v>
      </c>
      <c r="N5" s="148">
        <v>2</v>
      </c>
      <c r="Q5" s="146" t="s">
        <v>44</v>
      </c>
      <c r="R5" s="149">
        <v>4</v>
      </c>
      <c r="U5" s="156">
        <v>2</v>
      </c>
      <c r="V5" s="157">
        <v>6</v>
      </c>
      <c r="W5" s="158" t="str">
        <f t="shared" si="0"/>
        <v/>
      </c>
      <c r="X5" s="159" t="str">
        <f t="shared" si="1"/>
        <v/>
      </c>
      <c r="Y5" s="160" t="str">
        <f t="shared" si="2"/>
        <v/>
      </c>
    </row>
    <row r="6" spans="2:25" ht="12.75" x14ac:dyDescent="0.2">
      <c r="B6" s="263" t="s">
        <v>50</v>
      </c>
      <c r="C6" s="264"/>
      <c r="D6" s="265"/>
      <c r="E6" s="338" t="s">
        <v>44</v>
      </c>
      <c r="F6" s="339"/>
      <c r="G6" s="339"/>
      <c r="H6" s="339"/>
      <c r="I6" s="340"/>
      <c r="J6" s="162"/>
      <c r="K6" s="163"/>
      <c r="L6" s="146">
        <v>5</v>
      </c>
      <c r="M6" s="155" t="s">
        <v>42</v>
      </c>
      <c r="N6" s="148">
        <v>3</v>
      </c>
      <c r="Q6" s="146" t="s">
        <v>48</v>
      </c>
      <c r="R6" s="149">
        <v>5</v>
      </c>
      <c r="U6" s="156">
        <v>3</v>
      </c>
      <c r="V6" s="164">
        <v>12</v>
      </c>
      <c r="W6" s="158" t="str">
        <f t="shared" si="0"/>
        <v/>
      </c>
      <c r="X6" s="159" t="str">
        <f t="shared" si="1"/>
        <v/>
      </c>
      <c r="Y6" s="160" t="str">
        <f t="shared" si="2"/>
        <v/>
      </c>
    </row>
    <row r="7" spans="2:25" ht="12.75" x14ac:dyDescent="0.2">
      <c r="B7" s="301" t="s">
        <v>6</v>
      </c>
      <c r="C7" s="302"/>
      <c r="D7" s="302"/>
      <c r="E7" s="165">
        <v>43101</v>
      </c>
      <c r="F7" s="303"/>
      <c r="G7" s="304"/>
      <c r="H7" s="304"/>
      <c r="I7" s="304"/>
      <c r="J7" s="305"/>
      <c r="K7" s="21"/>
      <c r="L7" s="146">
        <v>6</v>
      </c>
      <c r="M7" s="155" t="s">
        <v>43</v>
      </c>
      <c r="N7" s="148">
        <v>3</v>
      </c>
      <c r="Q7" s="146" t="s">
        <v>49</v>
      </c>
      <c r="R7" s="149">
        <v>6</v>
      </c>
      <c r="U7" s="156">
        <v>4</v>
      </c>
      <c r="V7" s="164">
        <v>19</v>
      </c>
      <c r="W7" s="158" t="str">
        <f t="shared" si="0"/>
        <v/>
      </c>
      <c r="X7" s="159" t="str">
        <f t="shared" si="1"/>
        <v/>
      </c>
      <c r="Y7" s="160" t="str">
        <f t="shared" si="2"/>
        <v/>
      </c>
    </row>
    <row r="8" spans="2:25" ht="13.5" thickBot="1" x14ac:dyDescent="0.25">
      <c r="B8" s="301" t="s">
        <v>0</v>
      </c>
      <c r="C8" s="302"/>
      <c r="D8" s="302"/>
      <c r="E8" s="341" t="s">
        <v>13</v>
      </c>
      <c r="F8" s="342"/>
      <c r="G8" s="342"/>
      <c r="H8" s="342"/>
      <c r="I8" s="343"/>
      <c r="J8" s="6"/>
      <c r="L8" s="146">
        <v>7</v>
      </c>
      <c r="M8" s="155" t="s">
        <v>44</v>
      </c>
      <c r="N8" s="148">
        <v>4</v>
      </c>
      <c r="Q8" s="166" t="s">
        <v>46</v>
      </c>
      <c r="R8" s="167">
        <v>7</v>
      </c>
      <c r="U8" s="156">
        <v>5</v>
      </c>
      <c r="V8" s="164">
        <v>27</v>
      </c>
      <c r="W8" s="158">
        <f t="shared" si="0"/>
        <v>5</v>
      </c>
      <c r="X8" s="159">
        <f t="shared" si="1"/>
        <v>27</v>
      </c>
      <c r="Y8" s="160">
        <f t="shared" si="2"/>
        <v>5</v>
      </c>
    </row>
    <row r="9" spans="2:25" ht="14.25" thickTop="1" thickBot="1" x14ac:dyDescent="0.25">
      <c r="B9" s="296" t="s">
        <v>9</v>
      </c>
      <c r="C9" s="297"/>
      <c r="D9" s="297"/>
      <c r="E9" s="168">
        <v>9</v>
      </c>
      <c r="F9" s="260" t="str">
        <f>IF(OR(E6="",E9=0),"",IF(VLOOKUP(E9,L2:N17,3)&lt;=VLOOKUP(E6,Q11:S17,3),"","Výjimečné zařazení zaměstnance do této platové třídy"))</f>
        <v/>
      </c>
      <c r="G9" s="344"/>
      <c r="H9" s="344"/>
      <c r="I9" s="344"/>
      <c r="J9" s="345"/>
      <c r="K9" s="23"/>
      <c r="L9" s="146">
        <v>8</v>
      </c>
      <c r="M9" s="155" t="s">
        <v>44</v>
      </c>
      <c r="N9" s="148">
        <v>4</v>
      </c>
      <c r="Q9" s="169"/>
      <c r="U9" s="156">
        <v>6</v>
      </c>
      <c r="V9" s="164">
        <v>32</v>
      </c>
      <c r="W9" s="158" t="str">
        <f t="shared" si="0"/>
        <v/>
      </c>
      <c r="X9" s="159" t="str">
        <f t="shared" si="1"/>
        <v/>
      </c>
      <c r="Y9" s="160" t="str">
        <f t="shared" si="2"/>
        <v/>
      </c>
    </row>
    <row r="10" spans="2:25" ht="15.75" thickBot="1" x14ac:dyDescent="0.25">
      <c r="B10" s="263" t="s">
        <v>34</v>
      </c>
      <c r="C10" s="264"/>
      <c r="D10" s="265"/>
      <c r="E10" s="266" t="str">
        <f>IF(E9="","",VLOOKUP(E9,L2:M17,2))</f>
        <v xml:space="preserve">vyšší odborné nebo střední s maturitní zkouškou </v>
      </c>
      <c r="F10" s="267"/>
      <c r="G10" s="267"/>
      <c r="H10" s="267"/>
      <c r="I10" s="268"/>
      <c r="J10" s="170"/>
      <c r="K10" s="171"/>
      <c r="L10" s="146">
        <v>9</v>
      </c>
      <c r="M10" s="155" t="s">
        <v>45</v>
      </c>
      <c r="N10" s="148">
        <v>4</v>
      </c>
      <c r="Q10" s="90" t="s">
        <v>20</v>
      </c>
      <c r="R10" s="109" t="s">
        <v>19</v>
      </c>
      <c r="S10" s="172" t="s">
        <v>33</v>
      </c>
      <c r="U10" s="156">
        <v>7</v>
      </c>
      <c r="V10" s="164">
        <v>100</v>
      </c>
      <c r="W10" s="158" t="str">
        <f t="shared" si="0"/>
        <v/>
      </c>
      <c r="X10" s="159" t="str">
        <f t="shared" si="1"/>
        <v/>
      </c>
      <c r="Y10" s="160" t="str">
        <f t="shared" si="2"/>
        <v/>
      </c>
    </row>
    <row r="11" spans="2:25" ht="15.75" thickBot="1" x14ac:dyDescent="0.25">
      <c r="B11" s="269"/>
      <c r="C11" s="270"/>
      <c r="D11" s="270"/>
      <c r="E11" s="270"/>
      <c r="F11" s="270"/>
      <c r="G11" s="270"/>
      <c r="H11" s="270"/>
      <c r="I11" s="270"/>
      <c r="J11" s="271"/>
      <c r="K11" s="171"/>
      <c r="L11" s="146">
        <v>10</v>
      </c>
      <c r="M11" s="155" t="s">
        <v>52</v>
      </c>
      <c r="N11" s="148">
        <v>5</v>
      </c>
      <c r="Q11" s="84" t="str">
        <f>IF(E9="","",VLOOKUP(E9,L20:Z35,2))</f>
        <v xml:space="preserve">střední </v>
      </c>
      <c r="R11" s="87">
        <f>IF(E9="","",VLOOKUP(E9,L20:Z35,3))</f>
        <v>4</v>
      </c>
      <c r="S11" s="173">
        <v>2</v>
      </c>
      <c r="U11" s="156"/>
      <c r="V11" s="164"/>
      <c r="W11" s="174"/>
      <c r="X11" s="175"/>
      <c r="Y11" s="176"/>
    </row>
    <row r="12" spans="2:25" ht="15" x14ac:dyDescent="0.2">
      <c r="B12" s="278" t="s">
        <v>12</v>
      </c>
      <c r="C12" s="280" t="s">
        <v>35</v>
      </c>
      <c r="D12" s="282"/>
      <c r="E12" s="352" t="s">
        <v>36</v>
      </c>
      <c r="F12" s="353"/>
      <c r="G12" s="356" t="s">
        <v>38</v>
      </c>
      <c r="H12" s="357"/>
      <c r="I12" s="358" t="s">
        <v>22</v>
      </c>
      <c r="J12" s="348" t="s">
        <v>57</v>
      </c>
      <c r="K12" s="171"/>
      <c r="L12" s="146">
        <v>11</v>
      </c>
      <c r="M12" s="155" t="s">
        <v>53</v>
      </c>
      <c r="N12" s="148">
        <v>6</v>
      </c>
      <c r="Q12" s="85" t="str">
        <f>IF(E9="","",VLOOKUP(E9,L20:Z35,4))</f>
        <v>střední s maturitní zkouškou</v>
      </c>
      <c r="R12" s="88">
        <f>IF(E9="","",VLOOKUP(E9,L20:Z35,5))</f>
        <v>2</v>
      </c>
      <c r="S12" s="177">
        <v>4</v>
      </c>
      <c r="U12" s="156"/>
      <c r="V12" s="164"/>
      <c r="W12" s="174"/>
      <c r="X12" s="175"/>
      <c r="Y12" s="176"/>
    </row>
    <row r="13" spans="2:25" ht="15.75" thickBot="1" x14ac:dyDescent="0.25">
      <c r="B13" s="279"/>
      <c r="C13" s="283"/>
      <c r="D13" s="285"/>
      <c r="E13" s="354"/>
      <c r="F13" s="355"/>
      <c r="G13" s="178" t="s">
        <v>1</v>
      </c>
      <c r="H13" s="179" t="s">
        <v>2</v>
      </c>
      <c r="I13" s="359"/>
      <c r="J13" s="349"/>
      <c r="K13" s="171"/>
      <c r="L13" s="146">
        <v>12</v>
      </c>
      <c r="M13" s="155" t="s">
        <v>53</v>
      </c>
      <c r="N13" s="148">
        <v>6</v>
      </c>
      <c r="Q13" s="85" t="str">
        <f>IF(E9="","",VLOOKUP(E9,L20:Z35,6))</f>
        <v>střední s výučním listem</v>
      </c>
      <c r="R13" s="88">
        <f>IF(E9="","",VLOOKUP(E9,L20:Z35,7))</f>
        <v>3</v>
      </c>
      <c r="S13" s="177">
        <v>3</v>
      </c>
      <c r="U13" s="156"/>
      <c r="V13" s="164"/>
      <c r="W13" s="174"/>
      <c r="X13" s="175"/>
      <c r="Y13" s="176"/>
    </row>
    <row r="14" spans="2:25" ht="12.75" x14ac:dyDescent="0.2">
      <c r="B14" s="9">
        <v>1</v>
      </c>
      <c r="C14" s="350" t="s">
        <v>25</v>
      </c>
      <c r="D14" s="351"/>
      <c r="E14" s="350" t="s">
        <v>26</v>
      </c>
      <c r="F14" s="351"/>
      <c r="G14" s="180">
        <v>33055</v>
      </c>
      <c r="H14" s="180">
        <v>34880</v>
      </c>
      <c r="I14" s="181">
        <v>0.66666666666666663</v>
      </c>
      <c r="J14" s="16">
        <f>IF(AND(G14&gt;0,H14&gt;0,H14&gt;=G14),(YEAR(H14)-YEAR(G14-1)+(MONTH(H14)-MONTH(G14-1))/12+(DAY(H14)-DAY(G14-1))/365.25)*I14,"")</f>
        <v>3.333333333333333</v>
      </c>
      <c r="L14" s="146">
        <v>13</v>
      </c>
      <c r="M14" s="155" t="s">
        <v>46</v>
      </c>
      <c r="N14" s="148">
        <v>7</v>
      </c>
      <c r="Q14" s="85" t="str">
        <f>IF(E9="","",VLOOKUP(E9,L20:Z35,8))</f>
        <v>vysokoškolské v bakalářském studijním programu</v>
      </c>
      <c r="R14" s="88">
        <f>IF(E9="","",VLOOKUP(E9,L20:Z35,9))</f>
        <v>0</v>
      </c>
      <c r="S14" s="177">
        <v>6</v>
      </c>
      <c r="U14" s="156"/>
      <c r="V14" s="164"/>
      <c r="W14" s="174"/>
      <c r="X14" s="175"/>
      <c r="Y14" s="176"/>
    </row>
    <row r="15" spans="2:25" ht="12.75" x14ac:dyDescent="0.2">
      <c r="B15" s="10">
        <f t="shared" ref="B15:B33" si="3">IF(AND(C15="",E15=""),"",B14+1)</f>
        <v>2</v>
      </c>
      <c r="C15" s="346" t="s">
        <v>24</v>
      </c>
      <c r="D15" s="347"/>
      <c r="E15" s="346" t="s">
        <v>16</v>
      </c>
      <c r="F15" s="347"/>
      <c r="G15" s="182">
        <v>34881</v>
      </c>
      <c r="H15" s="180">
        <v>35246</v>
      </c>
      <c r="I15" s="181">
        <v>1</v>
      </c>
      <c r="J15" s="17">
        <f t="shared" ref="J15:J33" si="4">IF(AND(G15&gt;0,H15&gt;0,H15&gt;=G15,I15&gt;=0,G15&gt;H14),(YEAR(H15)-YEAR(G15-1)+(MONTH(H15)-MONTH(G15-1))/12+(DAY(H15)-DAY(G15-1))/365.25)*I15,"")</f>
        <v>1</v>
      </c>
      <c r="L15" s="146">
        <v>14</v>
      </c>
      <c r="M15" s="155" t="s">
        <v>46</v>
      </c>
      <c r="N15" s="148">
        <v>7</v>
      </c>
      <c r="Q15" s="85" t="str">
        <f>IF(E9="","",VLOOKUP(E9,L20:Z35,10))</f>
        <v>vysokoškolské v magisterském studijním programu</v>
      </c>
      <c r="R15" s="88">
        <f>IF(E9="","",VLOOKUP(E9,L20:Z35,11))</f>
        <v>0</v>
      </c>
      <c r="S15" s="177">
        <v>7</v>
      </c>
      <c r="U15" s="156"/>
      <c r="V15" s="164"/>
      <c r="W15" s="174"/>
      <c r="X15" s="175"/>
      <c r="Y15" s="176"/>
    </row>
    <row r="16" spans="2:25" ht="13.5" thickBot="1" x14ac:dyDescent="0.25">
      <c r="B16" s="10">
        <f t="shared" si="3"/>
        <v>3</v>
      </c>
      <c r="C16" s="346" t="s">
        <v>24</v>
      </c>
      <c r="D16" s="347"/>
      <c r="E16" s="346" t="s">
        <v>17</v>
      </c>
      <c r="F16" s="347"/>
      <c r="G16" s="182">
        <v>35247</v>
      </c>
      <c r="H16" s="180">
        <v>35611</v>
      </c>
      <c r="I16" s="181">
        <v>1</v>
      </c>
      <c r="J16" s="17">
        <f t="shared" si="4"/>
        <v>1</v>
      </c>
      <c r="K16" s="183"/>
      <c r="L16" s="146">
        <v>15</v>
      </c>
      <c r="M16" s="155" t="s">
        <v>46</v>
      </c>
      <c r="N16" s="148">
        <v>7</v>
      </c>
      <c r="Q16" s="85" t="str">
        <f>IF(E9="","",VLOOKUP(E9,L20:Z35,12))</f>
        <v xml:space="preserve">vyšší odborné </v>
      </c>
      <c r="R16" s="88">
        <f>IF(E9="","",VLOOKUP(E9,L20:Z35,13))</f>
        <v>0</v>
      </c>
      <c r="S16" s="177">
        <v>5</v>
      </c>
      <c r="U16" s="184"/>
      <c r="V16" s="185"/>
      <c r="W16" s="186"/>
      <c r="X16" s="187"/>
      <c r="Y16" s="188"/>
    </row>
    <row r="17" spans="2:26" s="192" customFormat="1" ht="14.25" thickTop="1" thickBot="1" x14ac:dyDescent="0.25">
      <c r="B17" s="10">
        <f t="shared" si="3"/>
        <v>4</v>
      </c>
      <c r="C17" s="346"/>
      <c r="D17" s="347"/>
      <c r="E17" s="346" t="s">
        <v>18</v>
      </c>
      <c r="F17" s="347"/>
      <c r="G17" s="182">
        <v>35612</v>
      </c>
      <c r="H17" s="180">
        <v>36707</v>
      </c>
      <c r="I17" s="181">
        <v>1</v>
      </c>
      <c r="J17" s="17">
        <f t="shared" si="4"/>
        <v>3</v>
      </c>
      <c r="K17" s="189"/>
      <c r="L17" s="166">
        <v>16</v>
      </c>
      <c r="M17" s="190" t="s">
        <v>46</v>
      </c>
      <c r="N17" s="191">
        <v>7</v>
      </c>
      <c r="Q17" s="86" t="str">
        <f>IF(E9="","",VLOOKUP(E9,L20:Z35,14))</f>
        <v>základní (základy vzdělání)</v>
      </c>
      <c r="R17" s="89">
        <f>IF(E9="","",VLOOKUP(E9,L20:Z35,15))</f>
        <v>6</v>
      </c>
      <c r="S17" s="193">
        <v>1</v>
      </c>
      <c r="U17" s="194" t="s">
        <v>11</v>
      </c>
      <c r="V17" s="195"/>
      <c r="W17" s="196">
        <f>SUM(W4:W16)</f>
        <v>5</v>
      </c>
      <c r="X17" s="197">
        <f>SUM(X4:X16)</f>
        <v>27</v>
      </c>
      <c r="Y17" s="198">
        <f>SUM(Y4:Y16)</f>
        <v>5</v>
      </c>
    </row>
    <row r="18" spans="2:26" ht="14.25" thickTop="1" thickBot="1" x14ac:dyDescent="0.25">
      <c r="B18" s="10">
        <f t="shared" si="3"/>
        <v>5</v>
      </c>
      <c r="C18" s="346" t="s">
        <v>24</v>
      </c>
      <c r="D18" s="347"/>
      <c r="E18" s="346" t="s">
        <v>17</v>
      </c>
      <c r="F18" s="347"/>
      <c r="G18" s="182">
        <v>36708</v>
      </c>
      <c r="H18" s="180">
        <v>37072</v>
      </c>
      <c r="I18" s="181">
        <v>1</v>
      </c>
      <c r="J18" s="17">
        <f t="shared" si="4"/>
        <v>1</v>
      </c>
      <c r="K18" s="26"/>
      <c r="L18" s="128"/>
      <c r="M18" s="128"/>
      <c r="N18" s="128"/>
      <c r="O18" s="128"/>
      <c r="P18" s="128"/>
      <c r="Q18" s="128"/>
      <c r="R18" s="128"/>
      <c r="S18" s="128"/>
    </row>
    <row r="19" spans="2:26" ht="14.25" thickTop="1" thickBot="1" x14ac:dyDescent="0.25">
      <c r="B19" s="10">
        <f t="shared" si="3"/>
        <v>6</v>
      </c>
      <c r="C19" s="346" t="s">
        <v>24</v>
      </c>
      <c r="D19" s="347"/>
      <c r="E19" s="346" t="s">
        <v>16</v>
      </c>
      <c r="F19" s="347"/>
      <c r="G19" s="182">
        <v>37073</v>
      </c>
      <c r="H19" s="180">
        <v>37437</v>
      </c>
      <c r="I19" s="181">
        <v>1</v>
      </c>
      <c r="J19" s="17">
        <f t="shared" si="4"/>
        <v>1</v>
      </c>
      <c r="K19" s="26"/>
      <c r="L19" s="199" t="s">
        <v>29</v>
      </c>
      <c r="M19" s="200" t="s">
        <v>30</v>
      </c>
      <c r="N19" s="201" t="s">
        <v>31</v>
      </c>
      <c r="O19" s="200" t="s">
        <v>30</v>
      </c>
      <c r="P19" s="201" t="s">
        <v>31</v>
      </c>
      <c r="Q19" s="200" t="s">
        <v>30</v>
      </c>
      <c r="R19" s="201" t="s">
        <v>31</v>
      </c>
      <c r="S19" s="200" t="s">
        <v>30</v>
      </c>
      <c r="T19" s="201" t="s">
        <v>31</v>
      </c>
      <c r="U19" s="200" t="s">
        <v>30</v>
      </c>
      <c r="V19" s="201" t="s">
        <v>31</v>
      </c>
      <c r="W19" s="200" t="s">
        <v>30</v>
      </c>
      <c r="X19" s="201" t="s">
        <v>31</v>
      </c>
      <c r="Y19" s="202" t="s">
        <v>30</v>
      </c>
      <c r="Z19" s="201" t="s">
        <v>31</v>
      </c>
    </row>
    <row r="20" spans="2:26" ht="12.75" x14ac:dyDescent="0.2">
      <c r="B20" s="10">
        <f t="shared" si="3"/>
        <v>7</v>
      </c>
      <c r="C20" s="346" t="s">
        <v>23</v>
      </c>
      <c r="D20" s="347"/>
      <c r="E20" s="346" t="s">
        <v>15</v>
      </c>
      <c r="F20" s="347"/>
      <c r="G20" s="182">
        <v>37438</v>
      </c>
      <c r="H20" s="180">
        <v>37802</v>
      </c>
      <c r="I20" s="181">
        <v>0.33333333333333331</v>
      </c>
      <c r="J20" s="17">
        <f t="shared" si="4"/>
        <v>0.33333333333333331</v>
      </c>
      <c r="K20" s="26"/>
      <c r="L20" s="203">
        <v>1</v>
      </c>
      <c r="M20" s="204" t="str">
        <f t="shared" ref="M20:M35" si="5">$Q$3</f>
        <v xml:space="preserve">střední </v>
      </c>
      <c r="N20" s="147">
        <v>0</v>
      </c>
      <c r="O20" s="204" t="str">
        <f t="shared" ref="O20:O35" si="6">$Q$5</f>
        <v>střední s maturitní zkouškou</v>
      </c>
      <c r="P20" s="147">
        <v>0</v>
      </c>
      <c r="Q20" s="204" t="str">
        <f t="shared" ref="Q20:Q35" si="7">$Q$4</f>
        <v>střední s výučním listem</v>
      </c>
      <c r="R20" s="147">
        <v>0</v>
      </c>
      <c r="S20" s="205" t="str">
        <f t="shared" ref="S20:S35" si="8">$Q$7</f>
        <v>vysokoškolské v bakalářském studijním programu</v>
      </c>
      <c r="T20" s="147">
        <v>0</v>
      </c>
      <c r="U20" s="204" t="str">
        <f t="shared" ref="U20:U35" si="9">$Q$8</f>
        <v>vysokoškolské v magisterském studijním programu</v>
      </c>
      <c r="V20" s="147">
        <v>0</v>
      </c>
      <c r="W20" s="205" t="str">
        <f t="shared" ref="W20:W35" si="10">$Q$6</f>
        <v xml:space="preserve">vyšší odborné </v>
      </c>
      <c r="X20" s="147">
        <v>0</v>
      </c>
      <c r="Y20" s="205" t="str">
        <f t="shared" ref="Y20:Y35" si="11">$Q$2</f>
        <v>základní (základy vzdělání)</v>
      </c>
      <c r="Z20" s="147">
        <v>0</v>
      </c>
    </row>
    <row r="21" spans="2:26" ht="12.75" x14ac:dyDescent="0.2">
      <c r="B21" s="10">
        <f t="shared" si="3"/>
        <v>8</v>
      </c>
      <c r="C21" s="346"/>
      <c r="D21" s="347"/>
      <c r="E21" s="346" t="s">
        <v>18</v>
      </c>
      <c r="F21" s="347"/>
      <c r="G21" s="182">
        <v>37803</v>
      </c>
      <c r="H21" s="180">
        <v>38898</v>
      </c>
      <c r="I21" s="181">
        <v>1</v>
      </c>
      <c r="J21" s="17">
        <f t="shared" si="4"/>
        <v>3</v>
      </c>
      <c r="K21" s="26"/>
      <c r="L21" s="206">
        <v>2</v>
      </c>
      <c r="M21" s="204" t="str">
        <f t="shared" si="5"/>
        <v xml:space="preserve">střední </v>
      </c>
      <c r="N21" s="155">
        <v>0</v>
      </c>
      <c r="O21" s="204" t="str">
        <f t="shared" si="6"/>
        <v>střední s maturitní zkouškou</v>
      </c>
      <c r="P21" s="155">
        <v>0</v>
      </c>
      <c r="Q21" s="204" t="str">
        <f t="shared" si="7"/>
        <v>střední s výučním listem</v>
      </c>
      <c r="R21" s="155">
        <v>0</v>
      </c>
      <c r="S21" s="205" t="str">
        <f t="shared" si="8"/>
        <v>vysokoškolské v bakalářském studijním programu</v>
      </c>
      <c r="T21" s="155">
        <v>0</v>
      </c>
      <c r="U21" s="204" t="str">
        <f t="shared" si="9"/>
        <v>vysokoškolské v magisterském studijním programu</v>
      </c>
      <c r="V21" s="155">
        <v>0</v>
      </c>
      <c r="W21" s="205" t="str">
        <f t="shared" si="10"/>
        <v xml:space="preserve">vyšší odborné </v>
      </c>
      <c r="X21" s="155">
        <v>0</v>
      </c>
      <c r="Y21" s="205" t="str">
        <f t="shared" si="11"/>
        <v>základní (základy vzdělání)</v>
      </c>
      <c r="Z21" s="155">
        <v>0</v>
      </c>
    </row>
    <row r="22" spans="2:26" ht="12.75" x14ac:dyDescent="0.2">
      <c r="B22" s="10">
        <f t="shared" si="3"/>
        <v>9</v>
      </c>
      <c r="C22" s="346" t="s">
        <v>23</v>
      </c>
      <c r="D22" s="347"/>
      <c r="E22" s="346" t="s">
        <v>15</v>
      </c>
      <c r="F22" s="347"/>
      <c r="G22" s="182">
        <v>38899</v>
      </c>
      <c r="H22" s="180">
        <v>39263</v>
      </c>
      <c r="I22" s="181">
        <v>0.33333333333333331</v>
      </c>
      <c r="J22" s="17">
        <f t="shared" si="4"/>
        <v>0.33333333333333331</v>
      </c>
      <c r="K22" s="26"/>
      <c r="L22" s="206">
        <v>3</v>
      </c>
      <c r="M22" s="204" t="str">
        <f t="shared" si="5"/>
        <v xml:space="preserve">střední </v>
      </c>
      <c r="N22" s="155">
        <v>0</v>
      </c>
      <c r="O22" s="204" t="str">
        <f t="shared" si="6"/>
        <v>střední s maturitní zkouškou</v>
      </c>
      <c r="P22" s="155">
        <v>0</v>
      </c>
      <c r="Q22" s="204" t="str">
        <f t="shared" si="7"/>
        <v>střední s výučním listem</v>
      </c>
      <c r="R22" s="155">
        <v>0</v>
      </c>
      <c r="S22" s="205" t="str">
        <f t="shared" si="8"/>
        <v>vysokoškolské v bakalářském studijním programu</v>
      </c>
      <c r="T22" s="155">
        <v>0</v>
      </c>
      <c r="U22" s="204" t="str">
        <f t="shared" si="9"/>
        <v>vysokoškolské v magisterském studijním programu</v>
      </c>
      <c r="V22" s="155">
        <v>0</v>
      </c>
      <c r="W22" s="205" t="str">
        <f t="shared" si="10"/>
        <v xml:space="preserve">vyšší odborné </v>
      </c>
      <c r="X22" s="155">
        <v>0</v>
      </c>
      <c r="Y22" s="205" t="str">
        <f t="shared" si="11"/>
        <v>základní (základy vzdělání)</v>
      </c>
      <c r="Z22" s="155">
        <v>0</v>
      </c>
    </row>
    <row r="23" spans="2:26" ht="12.75" x14ac:dyDescent="0.2">
      <c r="B23" s="10">
        <f t="shared" si="3"/>
        <v>10</v>
      </c>
      <c r="C23" s="346"/>
      <c r="D23" s="347"/>
      <c r="E23" s="346" t="s">
        <v>18</v>
      </c>
      <c r="F23" s="347"/>
      <c r="G23" s="182">
        <v>39264</v>
      </c>
      <c r="H23" s="180">
        <v>39994</v>
      </c>
      <c r="I23" s="181">
        <v>0</v>
      </c>
      <c r="J23" s="17">
        <f t="shared" si="4"/>
        <v>0</v>
      </c>
      <c r="K23" s="26"/>
      <c r="L23" s="206">
        <v>4</v>
      </c>
      <c r="M23" s="204" t="str">
        <f t="shared" si="5"/>
        <v xml:space="preserve">střední </v>
      </c>
      <c r="N23" s="155">
        <v>0</v>
      </c>
      <c r="O23" s="204" t="str">
        <f t="shared" si="6"/>
        <v>střední s maturitní zkouškou</v>
      </c>
      <c r="P23" s="155">
        <v>0</v>
      </c>
      <c r="Q23" s="204" t="str">
        <f t="shared" si="7"/>
        <v>střední s výučním listem</v>
      </c>
      <c r="R23" s="155">
        <v>0</v>
      </c>
      <c r="S23" s="205" t="str">
        <f t="shared" si="8"/>
        <v>vysokoškolské v bakalářském studijním programu</v>
      </c>
      <c r="T23" s="155">
        <v>0</v>
      </c>
      <c r="U23" s="204" t="str">
        <f t="shared" si="9"/>
        <v>vysokoškolské v magisterském studijním programu</v>
      </c>
      <c r="V23" s="155">
        <v>0</v>
      </c>
      <c r="W23" s="205" t="str">
        <f t="shared" si="10"/>
        <v xml:space="preserve">vyšší odborné </v>
      </c>
      <c r="X23" s="155">
        <v>0</v>
      </c>
      <c r="Y23" s="205" t="str">
        <f t="shared" si="11"/>
        <v>základní (základy vzdělání)</v>
      </c>
      <c r="Z23" s="155">
        <v>0</v>
      </c>
    </row>
    <row r="24" spans="2:26" ht="12.75" x14ac:dyDescent="0.2">
      <c r="B24" s="10">
        <f t="shared" si="3"/>
        <v>11</v>
      </c>
      <c r="C24" s="346" t="s">
        <v>23</v>
      </c>
      <c r="D24" s="347"/>
      <c r="E24" s="346" t="s">
        <v>15</v>
      </c>
      <c r="F24" s="347"/>
      <c r="G24" s="182">
        <v>39995</v>
      </c>
      <c r="H24" s="180">
        <v>40178</v>
      </c>
      <c r="I24" s="181">
        <v>0.33333333333333331</v>
      </c>
      <c r="J24" s="17">
        <f t="shared" si="4"/>
        <v>0.16757928359571067</v>
      </c>
      <c r="K24" s="26"/>
      <c r="L24" s="206">
        <v>5</v>
      </c>
      <c r="M24" s="204" t="str">
        <f t="shared" si="5"/>
        <v xml:space="preserve">střední </v>
      </c>
      <c r="N24" s="155">
        <v>0</v>
      </c>
      <c r="O24" s="204" t="str">
        <f t="shared" si="6"/>
        <v>střední s maturitní zkouškou</v>
      </c>
      <c r="P24" s="155">
        <v>0</v>
      </c>
      <c r="Q24" s="204" t="str">
        <f t="shared" si="7"/>
        <v>střední s výučním listem</v>
      </c>
      <c r="R24" s="155">
        <v>0</v>
      </c>
      <c r="S24" s="205" t="str">
        <f t="shared" si="8"/>
        <v>vysokoškolské v bakalářském studijním programu</v>
      </c>
      <c r="T24" s="155">
        <v>0</v>
      </c>
      <c r="U24" s="204" t="str">
        <f t="shared" si="9"/>
        <v>vysokoškolské v magisterském studijním programu</v>
      </c>
      <c r="V24" s="155">
        <v>0</v>
      </c>
      <c r="W24" s="205" t="str">
        <f t="shared" si="10"/>
        <v xml:space="preserve">vyšší odborné </v>
      </c>
      <c r="X24" s="155">
        <v>0</v>
      </c>
      <c r="Y24" s="205" t="str">
        <f t="shared" si="11"/>
        <v>základní (základy vzdělání)</v>
      </c>
      <c r="Z24" s="155">
        <v>0</v>
      </c>
    </row>
    <row r="25" spans="2:26" ht="12.75" x14ac:dyDescent="0.2">
      <c r="B25" s="10">
        <f t="shared" si="3"/>
        <v>12</v>
      </c>
      <c r="C25" s="346"/>
      <c r="D25" s="347"/>
      <c r="E25" s="346" t="s">
        <v>21</v>
      </c>
      <c r="F25" s="347"/>
      <c r="G25" s="182">
        <v>40179</v>
      </c>
      <c r="H25" s="180">
        <v>40268</v>
      </c>
      <c r="I25" s="181">
        <v>0</v>
      </c>
      <c r="J25" s="17">
        <f t="shared" si="4"/>
        <v>0</v>
      </c>
      <c r="K25" s="26"/>
      <c r="L25" s="206">
        <v>6</v>
      </c>
      <c r="M25" s="204" t="str">
        <f t="shared" si="5"/>
        <v xml:space="preserve">střední </v>
      </c>
      <c r="N25" s="155">
        <v>2</v>
      </c>
      <c r="O25" s="204" t="str">
        <f t="shared" si="6"/>
        <v>střední s maturitní zkouškou</v>
      </c>
      <c r="P25" s="155">
        <v>0</v>
      </c>
      <c r="Q25" s="204" t="str">
        <f t="shared" si="7"/>
        <v>střední s výučním listem</v>
      </c>
      <c r="R25" s="155">
        <v>1</v>
      </c>
      <c r="S25" s="205" t="str">
        <f t="shared" si="8"/>
        <v>vysokoškolské v bakalářském studijním programu</v>
      </c>
      <c r="T25" s="155">
        <v>0</v>
      </c>
      <c r="U25" s="204" t="str">
        <f t="shared" si="9"/>
        <v>vysokoškolské v magisterském studijním programu</v>
      </c>
      <c r="V25" s="155">
        <v>0</v>
      </c>
      <c r="W25" s="205" t="str">
        <f t="shared" si="10"/>
        <v xml:space="preserve">vyšší odborné </v>
      </c>
      <c r="X25" s="155">
        <v>0</v>
      </c>
      <c r="Y25" s="205" t="str">
        <f t="shared" si="11"/>
        <v>základní (základy vzdělání)</v>
      </c>
      <c r="Z25" s="155">
        <v>4</v>
      </c>
    </row>
    <row r="26" spans="2:26" ht="12.75" x14ac:dyDescent="0.2">
      <c r="B26" s="10">
        <f t="shared" si="3"/>
        <v>13</v>
      </c>
      <c r="C26" s="346" t="s">
        <v>37</v>
      </c>
      <c r="D26" s="347"/>
      <c r="E26" s="346" t="s">
        <v>13</v>
      </c>
      <c r="F26" s="347"/>
      <c r="G26" s="182">
        <v>40269</v>
      </c>
      <c r="H26" s="180">
        <v>43100</v>
      </c>
      <c r="I26" s="207">
        <v>1</v>
      </c>
      <c r="J26" s="17">
        <f t="shared" si="4"/>
        <v>7.75</v>
      </c>
      <c r="K26" s="26"/>
      <c r="L26" s="206">
        <v>7</v>
      </c>
      <c r="M26" s="204" t="str">
        <f t="shared" si="5"/>
        <v xml:space="preserve">střední </v>
      </c>
      <c r="N26" s="155">
        <v>2</v>
      </c>
      <c r="O26" s="204" t="str">
        <f t="shared" si="6"/>
        <v>střední s maturitní zkouškou</v>
      </c>
      <c r="P26" s="155">
        <v>0</v>
      </c>
      <c r="Q26" s="204" t="str">
        <f t="shared" si="7"/>
        <v>střední s výučním listem</v>
      </c>
      <c r="R26" s="155">
        <v>1</v>
      </c>
      <c r="S26" s="205" t="str">
        <f t="shared" si="8"/>
        <v>vysokoškolské v bakalářském studijním programu</v>
      </c>
      <c r="T26" s="155">
        <v>0</v>
      </c>
      <c r="U26" s="204" t="str">
        <f t="shared" si="9"/>
        <v>vysokoškolské v magisterském studijním programu</v>
      </c>
      <c r="V26" s="155">
        <v>0</v>
      </c>
      <c r="W26" s="205" t="str">
        <f t="shared" si="10"/>
        <v xml:space="preserve">vyšší odborné </v>
      </c>
      <c r="X26" s="155">
        <v>0</v>
      </c>
      <c r="Y26" s="205" t="str">
        <f t="shared" si="11"/>
        <v>základní (základy vzdělání)</v>
      </c>
      <c r="Z26" s="155">
        <v>4</v>
      </c>
    </row>
    <row r="27" spans="2:26" ht="12.75" x14ac:dyDescent="0.2">
      <c r="B27" s="10" t="str">
        <f t="shared" si="3"/>
        <v/>
      </c>
      <c r="C27" s="346"/>
      <c r="D27" s="347"/>
      <c r="E27" s="346"/>
      <c r="F27" s="347"/>
      <c r="G27" s="182"/>
      <c r="H27" s="180"/>
      <c r="I27" s="207"/>
      <c r="J27" s="17" t="str">
        <f t="shared" si="4"/>
        <v/>
      </c>
      <c r="K27" s="26"/>
      <c r="L27" s="206">
        <v>8</v>
      </c>
      <c r="M27" s="204" t="str">
        <f t="shared" si="5"/>
        <v xml:space="preserve">střední </v>
      </c>
      <c r="N27" s="155">
        <v>2</v>
      </c>
      <c r="O27" s="204" t="str">
        <f t="shared" si="6"/>
        <v>střední s maturitní zkouškou</v>
      </c>
      <c r="P27" s="155">
        <v>0</v>
      </c>
      <c r="Q27" s="204" t="str">
        <f t="shared" si="7"/>
        <v>střední s výučním listem</v>
      </c>
      <c r="R27" s="155">
        <v>1</v>
      </c>
      <c r="S27" s="205" t="str">
        <f t="shared" si="8"/>
        <v>vysokoškolské v bakalářském studijním programu</v>
      </c>
      <c r="T27" s="155">
        <v>0</v>
      </c>
      <c r="U27" s="204" t="str">
        <f t="shared" si="9"/>
        <v>vysokoškolské v magisterském studijním programu</v>
      </c>
      <c r="V27" s="155">
        <v>0</v>
      </c>
      <c r="W27" s="205" t="str">
        <f t="shared" si="10"/>
        <v xml:space="preserve">vyšší odborné </v>
      </c>
      <c r="X27" s="155">
        <v>0</v>
      </c>
      <c r="Y27" s="205" t="str">
        <f t="shared" si="11"/>
        <v>základní (základy vzdělání)</v>
      </c>
      <c r="Z27" s="155">
        <v>4</v>
      </c>
    </row>
    <row r="28" spans="2:26" ht="12.75" x14ac:dyDescent="0.2">
      <c r="B28" s="10" t="str">
        <f t="shared" si="3"/>
        <v/>
      </c>
      <c r="C28" s="346"/>
      <c r="D28" s="347"/>
      <c r="E28" s="346"/>
      <c r="F28" s="347"/>
      <c r="G28" s="182"/>
      <c r="H28" s="180"/>
      <c r="I28" s="207"/>
      <c r="J28" s="17" t="str">
        <f t="shared" si="4"/>
        <v/>
      </c>
      <c r="K28" s="26"/>
      <c r="L28" s="206">
        <v>9</v>
      </c>
      <c r="M28" s="204" t="str">
        <f t="shared" si="5"/>
        <v xml:space="preserve">střední </v>
      </c>
      <c r="N28" s="155">
        <v>4</v>
      </c>
      <c r="O28" s="204" t="str">
        <f t="shared" si="6"/>
        <v>střední s maturitní zkouškou</v>
      </c>
      <c r="P28" s="155">
        <v>2</v>
      </c>
      <c r="Q28" s="204" t="str">
        <f t="shared" si="7"/>
        <v>střední s výučním listem</v>
      </c>
      <c r="R28" s="155">
        <v>3</v>
      </c>
      <c r="S28" s="205" t="str">
        <f t="shared" si="8"/>
        <v>vysokoškolské v bakalářském studijním programu</v>
      </c>
      <c r="T28" s="155">
        <v>0</v>
      </c>
      <c r="U28" s="204" t="str">
        <f t="shared" si="9"/>
        <v>vysokoškolské v magisterském studijním programu</v>
      </c>
      <c r="V28" s="155">
        <v>0</v>
      </c>
      <c r="W28" s="205" t="str">
        <f t="shared" si="10"/>
        <v xml:space="preserve">vyšší odborné </v>
      </c>
      <c r="X28" s="155">
        <v>0</v>
      </c>
      <c r="Y28" s="205" t="str">
        <f t="shared" si="11"/>
        <v>základní (základy vzdělání)</v>
      </c>
      <c r="Z28" s="155">
        <v>6</v>
      </c>
    </row>
    <row r="29" spans="2:26" ht="12.75" x14ac:dyDescent="0.2">
      <c r="B29" s="10" t="str">
        <f t="shared" si="3"/>
        <v/>
      </c>
      <c r="C29" s="346"/>
      <c r="D29" s="347"/>
      <c r="E29" s="346"/>
      <c r="F29" s="347"/>
      <c r="G29" s="182"/>
      <c r="H29" s="180"/>
      <c r="I29" s="207"/>
      <c r="J29" s="17" t="str">
        <f t="shared" si="4"/>
        <v/>
      </c>
      <c r="K29" s="26"/>
      <c r="L29" s="206">
        <v>10</v>
      </c>
      <c r="M29" s="204" t="str">
        <f t="shared" si="5"/>
        <v xml:space="preserve">střední </v>
      </c>
      <c r="N29" s="155">
        <v>5</v>
      </c>
      <c r="O29" s="204" t="str">
        <f t="shared" si="6"/>
        <v>střední s maturitní zkouškou</v>
      </c>
      <c r="P29" s="155">
        <v>3</v>
      </c>
      <c r="Q29" s="204" t="str">
        <f t="shared" si="7"/>
        <v>střední s výučním listem</v>
      </c>
      <c r="R29" s="155">
        <v>4</v>
      </c>
      <c r="S29" s="205" t="str">
        <f t="shared" si="8"/>
        <v>vysokoškolské v bakalářském studijním programu</v>
      </c>
      <c r="T29" s="155">
        <v>0</v>
      </c>
      <c r="U29" s="204" t="str">
        <f t="shared" si="9"/>
        <v>vysokoškolské v magisterském studijním programu</v>
      </c>
      <c r="V29" s="155">
        <v>0</v>
      </c>
      <c r="W29" s="205" t="str">
        <f t="shared" si="10"/>
        <v xml:space="preserve">vyšší odborné </v>
      </c>
      <c r="X29" s="155">
        <v>1</v>
      </c>
      <c r="Y29" s="205" t="str">
        <f t="shared" si="11"/>
        <v>základní (základy vzdělání)</v>
      </c>
      <c r="Z29" s="155">
        <v>7</v>
      </c>
    </row>
    <row r="30" spans="2:26" ht="12.75" x14ac:dyDescent="0.2">
      <c r="B30" s="10" t="str">
        <f t="shared" si="3"/>
        <v/>
      </c>
      <c r="C30" s="346"/>
      <c r="D30" s="347"/>
      <c r="E30" s="346"/>
      <c r="F30" s="347"/>
      <c r="G30" s="182"/>
      <c r="H30" s="180"/>
      <c r="I30" s="207"/>
      <c r="J30" s="17" t="str">
        <f t="shared" si="4"/>
        <v/>
      </c>
      <c r="K30" s="26"/>
      <c r="L30" s="206">
        <v>11</v>
      </c>
      <c r="M30" s="204" t="str">
        <f t="shared" si="5"/>
        <v xml:space="preserve">střední </v>
      </c>
      <c r="N30" s="155">
        <v>7</v>
      </c>
      <c r="O30" s="204" t="str">
        <f t="shared" si="6"/>
        <v>střední s maturitní zkouškou</v>
      </c>
      <c r="P30" s="155">
        <v>5</v>
      </c>
      <c r="Q30" s="204" t="str">
        <f t="shared" si="7"/>
        <v>střední s výučním listem</v>
      </c>
      <c r="R30" s="155">
        <v>6</v>
      </c>
      <c r="S30" s="205" t="str">
        <f t="shared" si="8"/>
        <v>vysokoškolské v bakalářském studijním programu</v>
      </c>
      <c r="T30" s="155">
        <v>2</v>
      </c>
      <c r="U30" s="204" t="str">
        <f t="shared" si="9"/>
        <v>vysokoškolské v magisterském studijním programu</v>
      </c>
      <c r="V30" s="155">
        <v>0</v>
      </c>
      <c r="W30" s="205" t="str">
        <f t="shared" si="10"/>
        <v xml:space="preserve">vyšší odborné </v>
      </c>
      <c r="X30" s="155">
        <v>3</v>
      </c>
      <c r="Y30" s="205" t="str">
        <f t="shared" si="11"/>
        <v>základní (základy vzdělání)</v>
      </c>
      <c r="Z30" s="155">
        <v>9</v>
      </c>
    </row>
    <row r="31" spans="2:26" ht="12.75" x14ac:dyDescent="0.2">
      <c r="B31" s="10" t="str">
        <f t="shared" si="3"/>
        <v/>
      </c>
      <c r="C31" s="346"/>
      <c r="D31" s="347"/>
      <c r="E31" s="346"/>
      <c r="F31" s="347"/>
      <c r="G31" s="182"/>
      <c r="H31" s="180"/>
      <c r="I31" s="207"/>
      <c r="J31" s="17" t="str">
        <f t="shared" si="4"/>
        <v/>
      </c>
      <c r="K31" s="26"/>
      <c r="L31" s="206">
        <v>12</v>
      </c>
      <c r="M31" s="204" t="str">
        <f t="shared" si="5"/>
        <v xml:space="preserve">střední </v>
      </c>
      <c r="N31" s="155">
        <v>7</v>
      </c>
      <c r="O31" s="204" t="str">
        <f t="shared" si="6"/>
        <v>střední s maturitní zkouškou</v>
      </c>
      <c r="P31" s="155">
        <v>5</v>
      </c>
      <c r="Q31" s="204" t="str">
        <f t="shared" si="7"/>
        <v>střední s výučním listem</v>
      </c>
      <c r="R31" s="155">
        <v>6</v>
      </c>
      <c r="S31" s="205" t="str">
        <f t="shared" si="8"/>
        <v>vysokoškolské v bakalářském studijním programu</v>
      </c>
      <c r="T31" s="155">
        <v>2</v>
      </c>
      <c r="U31" s="204" t="str">
        <f t="shared" si="9"/>
        <v>vysokoškolské v magisterském studijním programu</v>
      </c>
      <c r="V31" s="155">
        <v>0</v>
      </c>
      <c r="W31" s="205" t="str">
        <f t="shared" si="10"/>
        <v xml:space="preserve">vyšší odborné </v>
      </c>
      <c r="X31" s="155">
        <v>3</v>
      </c>
      <c r="Y31" s="205" t="str">
        <f t="shared" si="11"/>
        <v>základní (základy vzdělání)</v>
      </c>
      <c r="Z31" s="155">
        <v>9</v>
      </c>
    </row>
    <row r="32" spans="2:26" ht="12.75" x14ac:dyDescent="0.2">
      <c r="B32" s="10" t="str">
        <f t="shared" si="3"/>
        <v/>
      </c>
      <c r="C32" s="346"/>
      <c r="D32" s="347"/>
      <c r="E32" s="346"/>
      <c r="F32" s="347"/>
      <c r="G32" s="182"/>
      <c r="H32" s="180"/>
      <c r="I32" s="207"/>
      <c r="J32" s="17" t="str">
        <f t="shared" si="4"/>
        <v/>
      </c>
      <c r="K32" s="26"/>
      <c r="L32" s="206">
        <v>13</v>
      </c>
      <c r="M32" s="204" t="str">
        <f t="shared" si="5"/>
        <v xml:space="preserve">střední </v>
      </c>
      <c r="N32" s="155">
        <v>7</v>
      </c>
      <c r="O32" s="204" t="str">
        <f t="shared" si="6"/>
        <v>střední s maturitní zkouškou</v>
      </c>
      <c r="P32" s="155">
        <v>5</v>
      </c>
      <c r="Q32" s="204" t="str">
        <f t="shared" si="7"/>
        <v>střední s výučním listem</v>
      </c>
      <c r="R32" s="155">
        <v>6</v>
      </c>
      <c r="S32" s="205" t="str">
        <f t="shared" si="8"/>
        <v>vysokoškolské v bakalářském studijním programu</v>
      </c>
      <c r="T32" s="155">
        <v>2</v>
      </c>
      <c r="U32" s="204" t="str">
        <f t="shared" si="9"/>
        <v>vysokoškolské v magisterském studijním programu</v>
      </c>
      <c r="V32" s="155">
        <v>0</v>
      </c>
      <c r="W32" s="205" t="str">
        <f t="shared" si="10"/>
        <v xml:space="preserve">vyšší odborné </v>
      </c>
      <c r="X32" s="155">
        <v>3</v>
      </c>
      <c r="Y32" s="205" t="str">
        <f t="shared" si="11"/>
        <v>základní (základy vzdělání)</v>
      </c>
      <c r="Z32" s="155">
        <v>9</v>
      </c>
    </row>
    <row r="33" spans="2:26" ht="13.5" thickBot="1" x14ac:dyDescent="0.25">
      <c r="B33" s="11" t="str">
        <f t="shared" si="3"/>
        <v/>
      </c>
      <c r="C33" s="368"/>
      <c r="D33" s="369"/>
      <c r="E33" s="368"/>
      <c r="F33" s="369"/>
      <c r="G33" s="182"/>
      <c r="H33" s="180"/>
      <c r="I33" s="208"/>
      <c r="J33" s="31" t="str">
        <f t="shared" si="4"/>
        <v/>
      </c>
      <c r="K33" s="26"/>
      <c r="L33" s="206">
        <v>14</v>
      </c>
      <c r="M33" s="204" t="str">
        <f t="shared" si="5"/>
        <v xml:space="preserve">střední </v>
      </c>
      <c r="N33" s="155">
        <v>7</v>
      </c>
      <c r="O33" s="204" t="str">
        <f t="shared" si="6"/>
        <v>střední s maturitní zkouškou</v>
      </c>
      <c r="P33" s="155">
        <v>5</v>
      </c>
      <c r="Q33" s="204" t="str">
        <f t="shared" si="7"/>
        <v>střední s výučním listem</v>
      </c>
      <c r="R33" s="155">
        <v>6</v>
      </c>
      <c r="S33" s="205" t="str">
        <f t="shared" si="8"/>
        <v>vysokoškolské v bakalářském studijním programu</v>
      </c>
      <c r="T33" s="155">
        <v>2</v>
      </c>
      <c r="U33" s="204" t="str">
        <f t="shared" si="9"/>
        <v>vysokoškolské v magisterském studijním programu</v>
      </c>
      <c r="V33" s="155">
        <v>0</v>
      </c>
      <c r="W33" s="205" t="str">
        <f t="shared" si="10"/>
        <v xml:space="preserve">vyšší odborné </v>
      </c>
      <c r="X33" s="155">
        <v>3</v>
      </c>
      <c r="Y33" s="205" t="str">
        <f t="shared" si="11"/>
        <v>základní (základy vzdělání)</v>
      </c>
      <c r="Z33" s="155">
        <v>9</v>
      </c>
    </row>
    <row r="34" spans="2:26" ht="12.75" x14ac:dyDescent="0.2">
      <c r="B34" s="257" t="s">
        <v>58</v>
      </c>
      <c r="C34" s="258"/>
      <c r="D34" s="258"/>
      <c r="E34" s="259"/>
      <c r="F34" s="34">
        <f>SUM(J14:J33)</f>
        <v>21.91757928359571</v>
      </c>
      <c r="G34" s="360" t="s">
        <v>64</v>
      </c>
      <c r="H34" s="361"/>
      <c r="I34" s="361"/>
      <c r="J34" s="362"/>
      <c r="K34" s="26"/>
      <c r="L34" s="206">
        <v>15</v>
      </c>
      <c r="M34" s="204" t="str">
        <f t="shared" si="5"/>
        <v xml:space="preserve">střední </v>
      </c>
      <c r="N34" s="155">
        <v>7</v>
      </c>
      <c r="O34" s="204" t="str">
        <f t="shared" si="6"/>
        <v>střední s maturitní zkouškou</v>
      </c>
      <c r="P34" s="155">
        <v>5</v>
      </c>
      <c r="Q34" s="204" t="str">
        <f t="shared" si="7"/>
        <v>střední s výučním listem</v>
      </c>
      <c r="R34" s="155">
        <v>6</v>
      </c>
      <c r="S34" s="205" t="str">
        <f t="shared" si="8"/>
        <v>vysokoškolské v bakalářském studijním programu</v>
      </c>
      <c r="T34" s="155">
        <v>2</v>
      </c>
      <c r="U34" s="204" t="str">
        <f t="shared" si="9"/>
        <v>vysokoškolské v magisterském studijním programu</v>
      </c>
      <c r="V34" s="155">
        <v>0</v>
      </c>
      <c r="W34" s="205" t="str">
        <f t="shared" si="10"/>
        <v xml:space="preserve">vyšší odborné </v>
      </c>
      <c r="X34" s="155">
        <v>3</v>
      </c>
      <c r="Y34" s="205" t="str">
        <f t="shared" si="11"/>
        <v>základní (základy vzdělání)</v>
      </c>
      <c r="Z34" s="155">
        <v>9</v>
      </c>
    </row>
    <row r="35" spans="2:26" ht="13.5" thickBot="1" x14ac:dyDescent="0.25">
      <c r="B35" s="244" t="s">
        <v>59</v>
      </c>
      <c r="C35" s="245"/>
      <c r="D35" s="245"/>
      <c r="E35" s="246"/>
      <c r="F35" s="209">
        <f>IF(ISERROR(VLOOKUP(E6,Q11:R17,2)),0,VLOOKUP(E6,Q11:R17,2))</f>
        <v>2</v>
      </c>
      <c r="G35" s="363"/>
      <c r="H35" s="364"/>
      <c r="I35" s="364"/>
      <c r="J35" s="365"/>
      <c r="K35" s="26"/>
      <c r="L35" s="210">
        <v>16</v>
      </c>
      <c r="M35" s="211" t="str">
        <f t="shared" si="5"/>
        <v xml:space="preserve">střední </v>
      </c>
      <c r="N35" s="190">
        <v>7</v>
      </c>
      <c r="O35" s="211" t="str">
        <f t="shared" si="6"/>
        <v>střední s maturitní zkouškou</v>
      </c>
      <c r="P35" s="190">
        <v>5</v>
      </c>
      <c r="Q35" s="211" t="str">
        <f t="shared" si="7"/>
        <v>střední s výučním listem</v>
      </c>
      <c r="R35" s="190">
        <v>6</v>
      </c>
      <c r="S35" s="212" t="str">
        <f t="shared" si="8"/>
        <v>vysokoškolské v bakalářském studijním programu</v>
      </c>
      <c r="T35" s="190">
        <v>2</v>
      </c>
      <c r="U35" s="211" t="str">
        <f t="shared" si="9"/>
        <v>vysokoškolské v magisterském studijním programu</v>
      </c>
      <c r="V35" s="190">
        <v>0</v>
      </c>
      <c r="W35" s="212" t="str">
        <f t="shared" si="10"/>
        <v xml:space="preserve">vyšší odborné </v>
      </c>
      <c r="X35" s="190">
        <v>3</v>
      </c>
      <c r="Y35" s="212" t="str">
        <f t="shared" si="11"/>
        <v>základní (základy vzdělání)</v>
      </c>
      <c r="Z35" s="190">
        <v>9</v>
      </c>
    </row>
    <row r="36" spans="2:26" ht="13.5" thickTop="1" x14ac:dyDescent="0.2">
      <c r="B36" s="247" t="s">
        <v>56</v>
      </c>
      <c r="C36" s="248"/>
      <c r="D36" s="248"/>
      <c r="E36" s="121" t="s">
        <v>54</v>
      </c>
      <c r="F36" s="36">
        <f>F34-F35</f>
        <v>19.91757928359571</v>
      </c>
      <c r="G36" s="363"/>
      <c r="H36" s="364"/>
      <c r="I36" s="364"/>
      <c r="J36" s="365"/>
      <c r="K36" s="26"/>
    </row>
    <row r="37" spans="2:26" ht="12.75" x14ac:dyDescent="0.2">
      <c r="B37" s="249"/>
      <c r="C37" s="250"/>
      <c r="D37" s="250"/>
      <c r="E37" s="121" t="s">
        <v>55</v>
      </c>
      <c r="F37" s="36" t="str">
        <f>INT(F36)&amp;" r. "&amp;ROUND((F36-INT(F36))*365,0)&amp;" dní"</f>
        <v>19 r. 335 dní</v>
      </c>
      <c r="G37" s="363"/>
      <c r="H37" s="364"/>
      <c r="I37" s="364"/>
      <c r="J37" s="365"/>
      <c r="K37" s="26"/>
    </row>
    <row r="38" spans="2:26" ht="12.75" x14ac:dyDescent="0.2">
      <c r="B38" s="251" t="s">
        <v>7</v>
      </c>
      <c r="C38" s="366"/>
      <c r="D38" s="366"/>
      <c r="E38" s="367"/>
      <c r="F38" s="37">
        <f>IF(F34-F36&gt;=0,W17,"Chyba!")</f>
        <v>5</v>
      </c>
      <c r="G38" s="363"/>
      <c r="H38" s="364"/>
      <c r="I38" s="364"/>
      <c r="J38" s="365"/>
      <c r="K38" s="26"/>
    </row>
    <row r="39" spans="2:26" ht="12.75" x14ac:dyDescent="0.2">
      <c r="B39" s="244" t="str">
        <f>IF(F38&lt;12,"Podmínky pro platový postup splněny","")</f>
        <v>Podmínky pro platový postup splněny</v>
      </c>
      <c r="C39" s="245"/>
      <c r="D39" s="245"/>
      <c r="E39" s="246"/>
      <c r="F39" s="38">
        <f>IF(AND(E7&gt;0,F38&lt;7),ROUND(E7-1+(X17-F36)*365.25,0),"")</f>
        <v>45687</v>
      </c>
      <c r="G39" s="363"/>
      <c r="H39" s="364"/>
      <c r="I39" s="364"/>
      <c r="J39" s="365"/>
      <c r="K39" s="27"/>
    </row>
    <row r="40" spans="2:26" ht="13.5" thickBot="1" x14ac:dyDescent="0.25">
      <c r="B40" s="226" t="str">
        <f>IF(AND(F40&gt;0,F38&lt;12), "Postup do dalšího platového stupně dne","")</f>
        <v>Postup do dalšího platového stupně dne</v>
      </c>
      <c r="C40" s="227"/>
      <c r="D40" s="227"/>
      <c r="E40" s="228"/>
      <c r="F40" s="39">
        <f>IF(AND(E7&gt;0,F39&gt;0,F38&lt;7),F39-DAY(F39)+1,"")</f>
        <v>45658</v>
      </c>
      <c r="G40" s="371"/>
      <c r="H40" s="372"/>
      <c r="I40" s="372"/>
      <c r="J40" s="373"/>
      <c r="K40" s="28"/>
    </row>
    <row r="41" spans="2:26" ht="12.75" x14ac:dyDescent="0.2">
      <c r="B41" s="374"/>
      <c r="C41" s="374"/>
      <c r="D41" s="374"/>
      <c r="E41" s="374"/>
      <c r="F41" s="374"/>
      <c r="G41" s="374"/>
      <c r="H41" s="374"/>
      <c r="I41" s="374"/>
      <c r="J41" s="374"/>
      <c r="K41" s="28"/>
    </row>
    <row r="42" spans="2:26" ht="12.75" x14ac:dyDescent="0.2">
      <c r="B42" s="375" t="s">
        <v>4</v>
      </c>
      <c r="C42" s="375"/>
      <c r="D42" s="214">
        <f ca="1">IF(E7="","",IF(TODAY()&lt;=E7,TODAY(),E7))</f>
        <v>43101</v>
      </c>
      <c r="E42" s="332"/>
      <c r="F42" s="332"/>
      <c r="G42" s="332"/>
      <c r="H42" s="332"/>
      <c r="I42" s="332"/>
      <c r="J42" s="332"/>
      <c r="K42" s="28"/>
    </row>
    <row r="43" spans="2:26" ht="12.75" customHeight="1" x14ac:dyDescent="0.2">
      <c r="B43" s="332"/>
      <c r="C43" s="332"/>
      <c r="D43" s="332"/>
      <c r="E43" s="332"/>
      <c r="F43" s="332"/>
      <c r="G43" s="332"/>
      <c r="H43" s="332"/>
      <c r="I43" s="332"/>
      <c r="J43" s="332"/>
      <c r="K43" s="28"/>
    </row>
    <row r="44" spans="2:26" ht="12.75" customHeight="1" x14ac:dyDescent="0.2">
      <c r="B44" s="332"/>
      <c r="C44" s="332"/>
      <c r="D44" s="332"/>
      <c r="E44" s="332"/>
      <c r="F44" s="332"/>
      <c r="G44" s="332" t="s">
        <v>5</v>
      </c>
      <c r="H44" s="332"/>
      <c r="I44" s="332"/>
      <c r="J44" s="332"/>
      <c r="K44" s="28"/>
    </row>
    <row r="45" spans="2:26" ht="145.5" customHeight="1" x14ac:dyDescent="0.2">
      <c r="B45" s="370"/>
      <c r="C45" s="370"/>
      <c r="D45" s="370"/>
      <c r="K45" s="163"/>
    </row>
    <row r="46" spans="2:26" ht="12" customHeight="1" x14ac:dyDescent="0.2">
      <c r="B46" s="370" t="s">
        <v>62</v>
      </c>
      <c r="C46" s="370"/>
      <c r="D46" s="370"/>
      <c r="K46" s="21"/>
    </row>
  </sheetData>
  <sheetProtection algorithmName="SHA-512" hashValue="xwGRR5atQmOspnMNff0kaC4usmH6Jd9i5nXtzMusMIAA263bOhnfLIEu305Kby/p0GcwT4lnJEVF1joKJOQCzg==" saltValue="oFNZnj/z45RIy/3ZGW1A3w==" spinCount="100000" sheet="1" objects="1" scenarios="1" selectLockedCells="1"/>
  <mergeCells count="81">
    <mergeCell ref="B44:F44"/>
    <mergeCell ref="G44:J44"/>
    <mergeCell ref="B45:D45"/>
    <mergeCell ref="B46:D46"/>
    <mergeCell ref="B40:E40"/>
    <mergeCell ref="G40:J40"/>
    <mergeCell ref="B41:J41"/>
    <mergeCell ref="B42:C42"/>
    <mergeCell ref="E42:J42"/>
    <mergeCell ref="B43:F43"/>
    <mergeCell ref="G43:J43"/>
    <mergeCell ref="C31:D31"/>
    <mergeCell ref="E31:F31"/>
    <mergeCell ref="G34:J39"/>
    <mergeCell ref="B35:E35"/>
    <mergeCell ref="B36:D37"/>
    <mergeCell ref="B38:E38"/>
    <mergeCell ref="B39:E39"/>
    <mergeCell ref="C32:D32"/>
    <mergeCell ref="E32:F32"/>
    <mergeCell ref="C33:D33"/>
    <mergeCell ref="E33:F33"/>
    <mergeCell ref="B34:E34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7:D17"/>
    <mergeCell ref="E17:F17"/>
    <mergeCell ref="C18:D18"/>
    <mergeCell ref="E18:F18"/>
    <mergeCell ref="C16:D16"/>
    <mergeCell ref="E16:F16"/>
    <mergeCell ref="F9:J9"/>
    <mergeCell ref="B10:D10"/>
    <mergeCell ref="E10:I10"/>
    <mergeCell ref="B11:J11"/>
    <mergeCell ref="E15:F15"/>
    <mergeCell ref="J12:J13"/>
    <mergeCell ref="C14:D14"/>
    <mergeCell ref="E14:F14"/>
    <mergeCell ref="C15:D15"/>
    <mergeCell ref="B12:B13"/>
    <mergeCell ref="C12:D13"/>
    <mergeCell ref="E12:F13"/>
    <mergeCell ref="G12:H12"/>
    <mergeCell ref="I12:I13"/>
    <mergeCell ref="B9:D9"/>
    <mergeCell ref="B6:D6"/>
    <mergeCell ref="E6:I6"/>
    <mergeCell ref="B7:D7"/>
    <mergeCell ref="F7:J7"/>
    <mergeCell ref="B8:D8"/>
    <mergeCell ref="E8:I8"/>
    <mergeCell ref="B1:J1"/>
    <mergeCell ref="B2:J2"/>
    <mergeCell ref="B3:J3"/>
    <mergeCell ref="B4:J4"/>
    <mergeCell ref="B5:D5"/>
    <mergeCell ref="E5:H5"/>
    <mergeCell ref="I5:J5"/>
  </mergeCells>
  <conditionalFormatting sqref="H27:H33">
    <cfRule type="cellIs" dxfId="12" priority="6" stopIfTrue="1" operator="lessThan">
      <formula>G27</formula>
    </cfRule>
  </conditionalFormatting>
  <conditionalFormatting sqref="G27:G33">
    <cfRule type="cellIs" dxfId="11" priority="7" stopIfTrue="1" operator="lessThanOrEqual">
      <formula>G26</formula>
    </cfRule>
    <cfRule type="cellIs" dxfId="10" priority="8" stopIfTrue="1" operator="lessThanOrEqual">
      <formula>H26</formula>
    </cfRule>
    <cfRule type="cellIs" dxfId="9" priority="9" stopIfTrue="1" operator="greaterThan">
      <formula>H26 +1</formula>
    </cfRule>
  </conditionalFormatting>
  <conditionalFormatting sqref="F35">
    <cfRule type="cellIs" dxfId="8" priority="10" stopIfTrue="1" operator="notBetween">
      <formula>0</formula>
      <formula>9</formula>
    </cfRule>
  </conditionalFormatting>
  <conditionalFormatting sqref="I27:I33">
    <cfRule type="expression" dxfId="7" priority="11" stopIfTrue="1">
      <formula>OR(I27&lt;0,AND(I27&gt;2/3,I27&lt;4/5),AND(I27&gt;4/5,I27&lt;1),I27&gt;1)</formula>
    </cfRule>
  </conditionalFormatting>
  <conditionalFormatting sqref="F38">
    <cfRule type="expression" dxfId="6" priority="12" stopIfTrue="1">
      <formula>AND($F$40&lt;=$E$7,$E$7&gt;0)</formula>
    </cfRule>
  </conditionalFormatting>
  <conditionalFormatting sqref="E9">
    <cfRule type="cellIs" dxfId="5" priority="13" stopIfTrue="1" operator="notBetween">
      <formula>1</formula>
      <formula>16</formula>
    </cfRule>
  </conditionalFormatting>
  <conditionalFormatting sqref="H14:H26">
    <cfRule type="cellIs" dxfId="4" priority="1" stopIfTrue="1" operator="lessThan">
      <formula>G14</formula>
    </cfRule>
  </conditionalFormatting>
  <conditionalFormatting sqref="G15:G26">
    <cfRule type="cellIs" dxfId="3" priority="2" stopIfTrue="1" operator="lessThanOrEqual">
      <formula>G14</formula>
    </cfRule>
    <cfRule type="cellIs" dxfId="2" priority="3" stopIfTrue="1" operator="lessThanOrEqual">
      <formula>H14</formula>
    </cfRule>
    <cfRule type="cellIs" dxfId="1" priority="4" stopIfTrue="1" operator="greaterThan">
      <formula>H14 +1</formula>
    </cfRule>
  </conditionalFormatting>
  <conditionalFormatting sqref="I14:I26">
    <cfRule type="expression" dxfId="0" priority="5" stopIfTrue="1">
      <formula>OR(I14&lt;0,AND(I14&gt;2/3,I14&lt;4/5),AND(I14&gt;4/5,I14&lt;1),I14&gt;1)</formula>
    </cfRule>
  </conditionalFormatting>
  <dataValidations count="9">
    <dataValidation type="list" allowBlank="1" showInputMessage="1" showErrorMessage="1" promptTitle="Nejvyšší získané vzdělání" prompt="Vyberte ze seznamu" sqref="E6:I6" xr:uid="{00000000-0002-0000-0200-000000000000}">
      <formula1>$Q$2:$Q$8</formula1>
    </dataValidation>
    <dataValidation type="list" allowBlank="1" showInputMessage="1" showErrorMessage="1" errorTitle="Platová třída" error="Zadejte celé číslo od 1 do 16 bez tečky za číslem" promptTitle="Platová třída" prompt="Vyberte ze seznamu nebo zapište číslicí" sqref="E9" xr:uid="{00000000-0002-0000-0200-000001000000}">
      <formula1>$L$20:$L$35</formula1>
    </dataValidation>
    <dataValidation type="custom" allowBlank="1" showInputMessage="1" showErrorMessage="1" errorTitle="Nepřípustná hodnota" error="Lze zadat hodnoty v rozsahu 0 až 2/3 nebo 1" promptTitle="Rozsah zápočtu" prompt="Lze zadat hodnoty v rozsahu 0 až 2/3 nebo 1" sqref="I14:I33" xr:uid="{00000000-0002-0000-0200-000002000000}">
      <formula1>OR(AND(I14&gt;=0,I14&lt;=2/3),I14=1)</formula1>
    </dataValidation>
    <dataValidation type="date" allowBlank="1" showInputMessage="1" showErrorMessage="1" errorTitle="Datum ukončení zaměstnání" error="Datum musí být vyšší než datum zahájení práce, případně nižší než datum zahájení tohoto pracovního poměru!_x000a_" promptTitle="Práce vykonávána do" prompt="Zadejte datum ukončení zaměstnání nebo datum ukončení vykonávání práce, datum ukončení MD, RD, voj. služby apod." sqref="H27:H33" xr:uid="{00000000-0002-0000-0200-000003000000}">
      <formula1>G27</formula1>
      <formula2>$E$7-1</formula2>
    </dataValidation>
    <dataValidation type="date" operator="greaterThan" allowBlank="1" showInputMessage="1" showErrorMessage="1" errorTitle="Datum vstupu do zaměstnání" error="Datum musí být vyšší než datum ukončení předcházejícího zaměstnání" promptTitle="Práce vykonávána od" prompt="Zadejte datum vstupu do zaměstnání nebo datum zahájení vykonávání práce, datum zahájení MD, RD, voj. služby apod." sqref="G15:G33" xr:uid="{00000000-0002-0000-0200-000004000000}">
      <formula1>H14</formula1>
    </dataValidation>
    <dataValidation allowBlank="1" showInputMessage="1" showErrorMessage="1" promptTitle="Firma (zaměstnavatel)" sqref="C14:D14" xr:uid="{00000000-0002-0000-0200-000005000000}"/>
    <dataValidation type="date" operator="greaterThan" allowBlank="1" showInputMessage="1" showErrorMessage="1" error="Zadejte datum" promptTitle="Práce vykonávána od" prompt="Zadejte datum vstupu do zaměstnání nebo datum zahájení vykonávání práce, datum zahájení MD, RD, voj. služby apod." sqref="G14" xr:uid="{00000000-0002-0000-0200-000006000000}">
      <formula1>10959</formula1>
    </dataValidation>
    <dataValidation type="date" operator="greaterThan" allowBlank="1" showInputMessage="1" showErrorMessage="1" error="Zadejte datum" promptTitle="Datum nástupu do zaměstnání" prompt="Zadejte datum" sqref="E7" xr:uid="{00000000-0002-0000-0200-000007000000}">
      <formula1>10959</formula1>
    </dataValidation>
    <dataValidation type="date" allowBlank="1" showInputMessage="1" showErrorMessage="1" errorTitle="Datum ukončení zaměstnání" error="Datum musí být vyšší než datum zahájení práce, případně nižší než datum zahájení tohoto pracovního poměru!_x000a_" promptTitle="Práce vykonávána do" prompt="Zadejte datum ukončení zaměstnání nebo datum ukončení vykonávání práce, datum ukončení MD, RD, voj. služby apod." sqref="H14:H26" xr:uid="{00000000-0002-0000-0200-000008000000}">
      <formula1>G14</formula1>
      <formula2>$D$7-1</formula2>
    </dataValidation>
  </dataValidations>
  <printOptions gridLinesSet="0"/>
  <pageMargins left="0.98425196850393704" right="0.19685039370078741" top="0.98425196850393704" bottom="0.78740157480314965" header="0.51181102362204722" footer="0.51181102362204722"/>
  <pageSetup paperSize="9" scale="95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Pedagogický pracovník</vt:lpstr>
      <vt:lpstr>Ostatní zaměstnanec</vt:lpstr>
      <vt:lpstr>Vzor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creator>RNDr. Milan Macek, CSc.</dc:creator>
  <cp:lastModifiedBy>MM</cp:lastModifiedBy>
  <cp:lastPrinted>2017-12-17T17:24:12Z</cp:lastPrinted>
  <dcterms:created xsi:type="dcterms:W3CDTF">2003-04-04T14:33:27Z</dcterms:created>
  <dcterms:modified xsi:type="dcterms:W3CDTF">2023-01-04T13:51:40Z</dcterms:modified>
</cp:coreProperties>
</file>